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40" activeTab="0"/>
  </bookViews>
  <sheets>
    <sheet name="uroky" sheetId="1" r:id="rId1"/>
    <sheet name="zivotnost" sheetId="2" r:id="rId2"/>
    <sheet name="odpisy" sheetId="3" r:id="rId3"/>
    <sheet name="zasoby" sheetId="4" r:id="rId4"/>
  </sheets>
  <definedNames/>
  <calcPr fullCalcOnLoad="1"/>
</workbook>
</file>

<file path=xl/sharedStrings.xml><?xml version="1.0" encoding="utf-8"?>
<sst xmlns="http://schemas.openxmlformats.org/spreadsheetml/2006/main" count="422" uniqueCount="232">
  <si>
    <t>ČASOVÁ HODNOTA PENĚZ</t>
  </si>
  <si>
    <t>Příklad č.1:</t>
  </si>
  <si>
    <t>u =</t>
  </si>
  <si>
    <t>Příklad 2:</t>
  </si>
  <si>
    <t>n =</t>
  </si>
  <si>
    <t>Rok</t>
  </si>
  <si>
    <t xml:space="preserve">Úročitel = </t>
  </si>
  <si>
    <t>x</t>
  </si>
  <si>
    <t>=</t>
  </si>
  <si>
    <t>Příklad 3:</t>
  </si>
  <si>
    <t>Jn / Jo =</t>
  </si>
  <si>
    <t>1+i =</t>
  </si>
  <si>
    <t>i =</t>
  </si>
  <si>
    <t>%</t>
  </si>
  <si>
    <t>Příklad 4:</t>
  </si>
  <si>
    <t>počet let =</t>
  </si>
  <si>
    <t>střadatel =</t>
  </si>
  <si>
    <t xml:space="preserve">a = </t>
  </si>
  <si>
    <t xml:space="preserve">Jn = </t>
  </si>
  <si>
    <t>Kontrola:</t>
  </si>
  <si>
    <t>fondovatel =</t>
  </si>
  <si>
    <t>Příklad 5:</t>
  </si>
  <si>
    <t>Příklad 6:</t>
  </si>
  <si>
    <t>úvěr =</t>
  </si>
  <si>
    <t>doba splácení =</t>
  </si>
  <si>
    <t>let</t>
  </si>
  <si>
    <t>Ú =</t>
  </si>
  <si>
    <t>a =</t>
  </si>
  <si>
    <t>Příklad 7:</t>
  </si>
  <si>
    <t>doba splatnosti =</t>
  </si>
  <si>
    <t>roky</t>
  </si>
  <si>
    <t>a)</t>
  </si>
  <si>
    <t>n</t>
  </si>
  <si>
    <t>Jistina</t>
  </si>
  <si>
    <t>Úrok</t>
  </si>
  <si>
    <t>Úmor</t>
  </si>
  <si>
    <t>Zůstatek dluhu</t>
  </si>
  <si>
    <t>celkem</t>
  </si>
  <si>
    <t>b)</t>
  </si>
  <si>
    <t>c)</t>
  </si>
  <si>
    <t>Jo =</t>
  </si>
  <si>
    <t>Um =</t>
  </si>
  <si>
    <t xml:space="preserve">Anuita </t>
  </si>
  <si>
    <t>d)</t>
  </si>
  <si>
    <t>letech</t>
  </si>
  <si>
    <t>Jn =</t>
  </si>
  <si>
    <t>Příklad 8:</t>
  </si>
  <si>
    <t>zisk =</t>
  </si>
  <si>
    <t>zásobitel =</t>
  </si>
  <si>
    <t xml:space="preserve">Jo = </t>
  </si>
  <si>
    <t>zisk - Jo =</t>
  </si>
  <si>
    <t>Zisk</t>
  </si>
  <si>
    <t>stačit na pokrytí zvýšených nákladů.</t>
  </si>
  <si>
    <t>Příklad 9:</t>
  </si>
  <si>
    <t>období =</t>
  </si>
  <si>
    <t>dnů</t>
  </si>
  <si>
    <t>počet období za rok =</t>
  </si>
  <si>
    <t>ŽIVOTNOST</t>
  </si>
  <si>
    <t>Příklad 1:</t>
  </si>
  <si>
    <t>a*t</t>
  </si>
  <si>
    <t>Prům. náklady</t>
  </si>
  <si>
    <t>technická životnost =</t>
  </si>
  <si>
    <t>faktor času =</t>
  </si>
  <si>
    <t>N poř</t>
  </si>
  <si>
    <t>ekonomická životnost =</t>
  </si>
  <si>
    <t>ODPISY</t>
  </si>
  <si>
    <t>rovnoměrné odepis.</t>
  </si>
  <si>
    <t>zrychlené odepis.</t>
  </si>
  <si>
    <t>skupina</t>
  </si>
  <si>
    <t>doba odepis.</t>
  </si>
  <si>
    <t>koef. 1</t>
  </si>
  <si>
    <t>koef. 2</t>
  </si>
  <si>
    <t>pořizovací cena =</t>
  </si>
  <si>
    <t>odpisová skupina =</t>
  </si>
  <si>
    <t>a)  rovnoměrné</t>
  </si>
  <si>
    <t xml:space="preserve">b) </t>
  </si>
  <si>
    <t>zrychlené</t>
  </si>
  <si>
    <t>pořizovací cena výrobního zařízení =</t>
  </si>
  <si>
    <t>počet vyrobených součástek =</t>
  </si>
  <si>
    <t>v 1. roce vyrobeno =</t>
  </si>
  <si>
    <t>ve 2. roce vyrobeno =</t>
  </si>
  <si>
    <t>ve zbývajících letech =</t>
  </si>
  <si>
    <t>Počet výrobků</t>
  </si>
  <si>
    <t>Odpis</t>
  </si>
  <si>
    <t>Zůstatková cena</t>
  </si>
  <si>
    <t>Celkem</t>
  </si>
  <si>
    <t>Kč</t>
  </si>
  <si>
    <t>doba životnosti =</t>
  </si>
  <si>
    <t>a)  aritmetickým diferenciálem =</t>
  </si>
  <si>
    <t>b)  stupňem progrese =</t>
  </si>
  <si>
    <t>a) aritmetickým diferenciálem =</t>
  </si>
  <si>
    <t>zůstatková cena po skončení doby životnosti =</t>
  </si>
  <si>
    <t>p =</t>
  </si>
  <si>
    <t>stupeň progrese =</t>
  </si>
  <si>
    <t>Odpis a úrok</t>
  </si>
  <si>
    <t>ZÁSOBY</t>
  </si>
  <si>
    <t>Objem výroby =</t>
  </si>
  <si>
    <t>N na dodávku =</t>
  </si>
  <si>
    <t>N na skladování =</t>
  </si>
  <si>
    <t>Kč / rok pro jednotku výroby</t>
  </si>
  <si>
    <t>T =</t>
  </si>
  <si>
    <t>q(opt) =</t>
  </si>
  <si>
    <t>Nmin =</t>
  </si>
  <si>
    <t>t(q - opt.) =</t>
  </si>
  <si>
    <t>dodávky</t>
  </si>
  <si>
    <t>Počet výrobků =</t>
  </si>
  <si>
    <t>ks</t>
  </si>
  <si>
    <t>Počet součástek na 1 výrobek =</t>
  </si>
  <si>
    <t>Doba výroby =</t>
  </si>
  <si>
    <t>dní</t>
  </si>
  <si>
    <t>Jednoduché úročení:</t>
  </si>
  <si>
    <t>Složené úročení:</t>
  </si>
  <si>
    <t>Zvolte si jistinu:</t>
  </si>
  <si>
    <t>Zvolte si úrokovou míru:</t>
  </si>
  <si>
    <t>Vypočtěte hodnotu jistiny po 5 letech, je-li uložena při úrokové míře u (%).</t>
  </si>
  <si>
    <t>%        tj.</t>
  </si>
  <si>
    <t>Vypočtěte s pomocí úročení:    a) jednoduchého        b) složeného úročení</t>
  </si>
  <si>
    <t xml:space="preserve">let           </t>
  </si>
  <si>
    <t xml:space="preserve"> X = </t>
  </si>
  <si>
    <t xml:space="preserve">%      tzn. i = </t>
  </si>
  <si>
    <t xml:space="preserve">Kontrola výsledku: </t>
  </si>
  <si>
    <t>Zjistěte úrokovou míru (u), která odpovídá tomuto zvýšení.</t>
  </si>
  <si>
    <r>
      <t xml:space="preserve">Po 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 xml:space="preserve"> letech se původní hodnota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Kč zvýšila na </t>
    </r>
    <r>
      <rPr>
        <u val="single"/>
        <sz val="12"/>
        <rFont val="Arial"/>
        <family val="2"/>
      </rPr>
      <t>Y</t>
    </r>
    <r>
      <rPr>
        <sz val="12"/>
        <rFont val="Arial"/>
        <family val="2"/>
      </rPr>
      <t xml:space="preserve"> Kč </t>
    </r>
  </si>
  <si>
    <t>Původní částka =</t>
  </si>
  <si>
    <t>x 1 000   =</t>
  </si>
  <si>
    <t>Konečná částka =</t>
  </si>
  <si>
    <t>Počet let (n) =</t>
  </si>
  <si>
    <t>Výše úroku bude spočtena a připsána na účet na konci každého roku.</t>
  </si>
  <si>
    <t>měsíční vklad =</t>
  </si>
  <si>
    <t>Cvičení č.2:</t>
  </si>
  <si>
    <t xml:space="preserve">Odúročitel </t>
  </si>
  <si>
    <r>
      <t xml:space="preserve">Jaká částka musí být uložena při úrokové míře </t>
    </r>
    <r>
      <rPr>
        <u val="single"/>
        <sz val="12"/>
        <rFont val="Arial"/>
        <family val="2"/>
      </rPr>
      <t>u</t>
    </r>
    <r>
      <rPr>
        <sz val="12"/>
        <rFont val="Arial"/>
        <family val="2"/>
      </rPr>
      <t xml:space="preserve"> (%), pokud chcete mít po 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 xml:space="preserve"> letech k dispozici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Kč. </t>
    </r>
  </si>
  <si>
    <r>
      <t>a)</t>
    </r>
    <r>
      <rPr>
        <sz val="12"/>
        <rFont val="Times New Roman"/>
        <family val="1"/>
      </rPr>
      <t> </t>
    </r>
    <r>
      <rPr>
        <sz val="12"/>
        <rFont val="Arial"/>
        <family val="2"/>
      </rPr>
      <t>pomocí jednoduchého úročení       b) pomocí složeného úročení</t>
    </r>
  </si>
  <si>
    <r>
      <t xml:space="preserve">Jak dlouho bude trvat, než získáte sumu ve výši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Kč</t>
    </r>
    <r>
      <rPr>
        <sz val="12"/>
        <rFont val="Arial"/>
        <family val="2"/>
      </rPr>
      <t>?</t>
    </r>
  </si>
  <si>
    <t>Cílová částka (X) =</t>
  </si>
  <si>
    <t>Měsíční vklad (Y) =</t>
  </si>
  <si>
    <t>x  1 000 Kč =</t>
  </si>
  <si>
    <r>
      <t xml:space="preserve">Pravidelně koncem každého roku ukládáte </t>
    </r>
    <r>
      <rPr>
        <u val="single"/>
        <sz val="12"/>
        <rFont val="Arial"/>
        <family val="2"/>
      </rPr>
      <t>Y</t>
    </r>
    <r>
      <rPr>
        <sz val="12"/>
        <rFont val="Arial"/>
        <family val="2"/>
      </rPr>
      <t xml:space="preserve"> Kč při setinné úrokové míře </t>
    </r>
    <r>
      <rPr>
        <u val="single"/>
        <sz val="12"/>
        <rFont val="Arial"/>
        <family val="2"/>
      </rPr>
      <t>i</t>
    </r>
    <r>
      <rPr>
        <sz val="12"/>
        <rFont val="Arial"/>
        <family val="2"/>
      </rPr>
      <t>.</t>
    </r>
  </si>
  <si>
    <r>
      <t xml:space="preserve">Kolik naspoříte, jestliže po dobu 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 xml:space="preserve"> let budete ukládat měsíčně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Kč při nominální úrokové míře u (%).  </t>
    </r>
  </si>
  <si>
    <r>
      <t xml:space="preserve">Úvěr ve výši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Kč je nutné splácet 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 xml:space="preserve"> let stejnými ročními částkami. </t>
    </r>
  </si>
  <si>
    <t>x 1 000 =</t>
  </si>
  <si>
    <t>%      tj. i =</t>
  </si>
  <si>
    <t xml:space="preserve">Umořovatel = </t>
  </si>
  <si>
    <t>Vypočtěte hodnotu této částky (a) a celkovou hodnotu úroků, pokud je nominální úroková míra  rovna u (%).</t>
  </si>
  <si>
    <t>výše roční splátky (a) =</t>
  </si>
  <si>
    <t>Úroky =</t>
  </si>
  <si>
    <t>b) při složeném úrokování</t>
  </si>
  <si>
    <t>d) při složeném úrokování. Úvěr bude splacen jednorázovou splátkou včetně úroků po 3 letech.</t>
  </si>
  <si>
    <t>x    1 000 =</t>
  </si>
  <si>
    <t>%       tj. i =</t>
  </si>
  <si>
    <t>Kč        i =</t>
  </si>
  <si>
    <t>Splacení všeho po</t>
  </si>
  <si>
    <t>Konečná spl.</t>
  </si>
  <si>
    <r>
      <t xml:space="preserve">Výše úvěru je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Kč, setinná úroková míra je </t>
    </r>
    <r>
      <rPr>
        <u val="single"/>
        <sz val="12"/>
        <rFont val="Arial"/>
        <family val="2"/>
      </rPr>
      <t>u</t>
    </r>
    <r>
      <rPr>
        <sz val="12"/>
        <rFont val="Arial"/>
        <family val="2"/>
      </rPr>
      <t xml:space="preserve"> a doba splatnosti úvěru 3 roky. </t>
    </r>
  </si>
  <si>
    <t>a) Znázorněte průběh umořování pomocí jednoduchého úročení při ročním úmoru třetiny úvěru a ročně splacených úrocích.</t>
  </si>
  <si>
    <t>c) Znázorněte průběh umořování při složeném úrokování pomocí anuit, kde anuita obsahuje u (%) úrok ze zůstatku dluhu a úmor</t>
  </si>
  <si>
    <t xml:space="preserve"> Firma uvažuje o tom, že by uložila celý letošní zisk na účet v bance, který by byl úročen u (%). </t>
  </si>
  <si>
    <t>firmy hledat jiný způsob?</t>
  </si>
  <si>
    <r>
      <t xml:space="preserve">Bude možné ze zisku v letošním roce hradit zvýšené náklady po dobu 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 xml:space="preserve"> let nebo bude muset management </t>
    </r>
  </si>
  <si>
    <t>%            i =</t>
  </si>
  <si>
    <t xml:space="preserve"> a) čtvrtletním    b) měsíčním  c) týdenním.</t>
  </si>
  <si>
    <t>Určete efektivní úrokovou míru pro případ, že nominální úroková míra u (%) p.a. při úročení:</t>
  </si>
  <si>
    <t xml:space="preserve">% p.a.    </t>
  </si>
  <si>
    <t>Cvičení č.3:</t>
  </si>
  <si>
    <r>
      <t>i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=</t>
    </r>
  </si>
  <si>
    <t xml:space="preserve">a) bez faktoru času        b) s faktorem času  i </t>
  </si>
  <si>
    <r>
      <t xml:space="preserve">N </t>
    </r>
    <r>
      <rPr>
        <vertAlign val="subscript"/>
        <sz val="12"/>
        <rFont val="Arial"/>
        <family val="2"/>
      </rPr>
      <t>poř</t>
    </r>
    <r>
      <rPr>
        <sz val="12"/>
        <rFont val="Arial"/>
        <family val="2"/>
      </rPr>
      <t xml:space="preserve"> =</t>
    </r>
  </si>
  <si>
    <r>
      <t xml:space="preserve">N </t>
    </r>
    <r>
      <rPr>
        <vertAlign val="subscript"/>
        <sz val="12"/>
        <rFont val="Arial"/>
        <family val="2"/>
      </rPr>
      <t>prov</t>
    </r>
    <r>
      <rPr>
        <sz val="12"/>
        <rFont val="Arial"/>
        <family val="2"/>
      </rPr>
      <t xml:space="preserve"> =</t>
    </r>
  </si>
  <si>
    <r>
      <t>Stanovte ekonomickou životnost stroje, kdy pořizovací náklady jsou N</t>
    </r>
    <r>
      <rPr>
        <vertAlign val="subscript"/>
        <sz val="12"/>
        <rFont val="Arial"/>
        <family val="2"/>
      </rPr>
      <t>poř</t>
    </r>
    <r>
      <rPr>
        <sz val="12"/>
        <rFont val="Arial"/>
        <family val="2"/>
      </rPr>
      <t> (Kč) a provozní náklady              N</t>
    </r>
    <r>
      <rPr>
        <vertAlign val="subscript"/>
        <sz val="12"/>
        <rFont val="Arial"/>
        <family val="2"/>
      </rPr>
      <t xml:space="preserve">prov </t>
    </r>
    <r>
      <rPr>
        <sz val="12"/>
        <rFont val="Arial"/>
        <family val="2"/>
      </rPr>
      <t xml:space="preserve">= a * t (a =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... směrnice růstu N</t>
    </r>
    <r>
      <rPr>
        <vertAlign val="subscript"/>
        <sz val="12"/>
        <rFont val="Arial"/>
        <family val="2"/>
      </rPr>
      <t>prov</t>
    </r>
    <r>
      <rPr>
        <sz val="12"/>
        <rFont val="Arial"/>
        <family val="2"/>
      </rPr>
      <t>), jestliže neberete v úvahu jiná zařízení:</t>
    </r>
  </si>
  <si>
    <t>... tj.</t>
  </si>
  <si>
    <t>N celkové</t>
  </si>
  <si>
    <r>
      <t>n</t>
    </r>
    <r>
      <rPr>
        <vertAlign val="subscript"/>
        <sz val="12"/>
        <rFont val="Arial"/>
        <family val="2"/>
      </rPr>
      <t>dod</t>
    </r>
    <r>
      <rPr>
        <sz val="12"/>
        <rFont val="Arial"/>
        <family val="2"/>
      </rPr>
      <t xml:space="preserve"> / n</t>
    </r>
    <r>
      <rPr>
        <vertAlign val="subscript"/>
        <sz val="12"/>
        <rFont val="Arial"/>
        <family val="2"/>
      </rPr>
      <t>skl</t>
    </r>
    <r>
      <rPr>
        <sz val="12"/>
        <rFont val="Arial"/>
        <family val="2"/>
      </rPr>
      <t xml:space="preserve"> =</t>
    </r>
  </si>
  <si>
    <t>Cvičení č.4:</t>
  </si>
  <si>
    <t>Cvičení č.5:</t>
  </si>
  <si>
    <t>Firma se rozhodla, že použije: a)  rovnoměrné odpisy   b) zrychlené odpisy</t>
  </si>
  <si>
    <r>
      <t xml:space="preserve">Vypočtěte daňové odpisy osobního počítače s pořizovací cenou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Kč. </t>
    </r>
    <r>
      <rPr>
        <i/>
        <sz val="12"/>
        <rFont val="Arial"/>
        <family val="2"/>
      </rPr>
      <t>(počítač patří do 1. odpisové skupiny)</t>
    </r>
  </si>
  <si>
    <t>Výše odpisu</t>
  </si>
  <si>
    <r>
      <t xml:space="preserve">Za tuto dobu bude vyrobeno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(ks) hřídelí, z toho v prvním roce Y (kusů), ve druhém roce W (ks) </t>
    </r>
  </si>
  <si>
    <t xml:space="preserve">a ve zbývajících třech letech po Z (ks).  </t>
  </si>
  <si>
    <t>Jaké budou roční odpisy, bude- li použita výkonová metoda odpisování?</t>
  </si>
  <si>
    <r>
      <t xml:space="preserve">Podnik nakoupil výrobní zařízení na výrobu hřídelí  za pořizovací cenu PPC (Kč) s dobou životnosti 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 xml:space="preserve"> let. </t>
    </r>
  </si>
  <si>
    <t>doba životnosti výrob. zařízení =</t>
  </si>
  <si>
    <t>x 100 =</t>
  </si>
  <si>
    <t>ks / rok</t>
  </si>
  <si>
    <t>Příklad (1+2):</t>
  </si>
  <si>
    <t>Odepisování má být provedeno progresivně:</t>
  </si>
  <si>
    <t xml:space="preserve">Vypočítejte roční odpisy zařízení, jehož pořizovací hodnota je 2 500 000 Kč a doba životnosti 6 let. </t>
  </si>
  <si>
    <r>
      <t xml:space="preserve">Vypočítejte roční odpisy zařízení, jehož pořizovací hodnota je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(Kč) a doba životnosti 6 let. </t>
    </r>
  </si>
  <si>
    <t>doba životnosti (roky)  =</t>
  </si>
  <si>
    <t>Odepisování má být provedeno degresivně:</t>
  </si>
  <si>
    <r>
      <t xml:space="preserve">Vypočtěte odpisy zařízení, jehož pořizovací hodnota (PPC) je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Kč a doba životnosti 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 xml:space="preserve"> let,</t>
    </r>
  </si>
  <si>
    <t xml:space="preserve"> jestliže se předpokládá, že po skončení doby životnosti bude zůstatková cena tohoto zařízení Y (Kč).</t>
  </si>
  <si>
    <t>Jaký bude průběh odepisování tohoto zařízení, zvolíme-li metodu Sinking fund method.</t>
  </si>
  <si>
    <r>
      <t xml:space="preserve">Cena výrobního zařízení je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(Kč), jeho ekonomická životnost</t>
    </r>
    <r>
      <rPr>
        <u val="single"/>
        <sz val="12"/>
        <rFont val="Arial"/>
        <family val="2"/>
      </rPr>
      <t xml:space="preserve"> n</t>
    </r>
    <r>
      <rPr>
        <sz val="12"/>
        <rFont val="Arial"/>
        <family val="2"/>
      </rPr>
      <t xml:space="preserve"> let a stupeň  progrese</t>
    </r>
    <r>
      <rPr>
        <u val="single"/>
        <sz val="12"/>
        <rFont val="Arial"/>
        <family val="2"/>
      </rPr>
      <t xml:space="preserve"> p</t>
    </r>
    <r>
      <rPr>
        <sz val="12"/>
        <rFont val="Arial"/>
        <family val="2"/>
      </rPr>
      <t xml:space="preserve"> (%). </t>
    </r>
  </si>
  <si>
    <t>Jaký bude průběh odepisování tohoto zařízení, jestliže chceme pomocí odpisů splácet úvěr?</t>
  </si>
  <si>
    <r>
      <t xml:space="preserve">Cena výrobního zařízení je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(Kč),  životnost 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 xml:space="preserve"> let a stupeň  progrese </t>
    </r>
    <r>
      <rPr>
        <u val="single"/>
        <sz val="12"/>
        <rFont val="Arial"/>
        <family val="2"/>
      </rPr>
      <t>p</t>
    </r>
    <r>
      <rPr>
        <sz val="12"/>
        <rFont val="Arial"/>
        <family val="2"/>
      </rPr>
      <t xml:space="preserve"> (%). </t>
    </r>
  </si>
  <si>
    <t xml:space="preserve"> roku jsou Nr (Kč / ks za rok). Určete:</t>
  </si>
  <si>
    <t xml:space="preserve"> činí N (Kč) bez ohledu na její velikost. Náklady na skladování jednotky množství po dobu jednoho</t>
  </si>
  <si>
    <t>rok</t>
  </si>
  <si>
    <t>roku          tj.</t>
  </si>
  <si>
    <t>měsíců       tj.</t>
  </si>
  <si>
    <r>
      <t xml:space="preserve">Obchodní organizace má zajistit dodávky určitého výrobku v množství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(ks). Náklady na objednávku</t>
    </r>
  </si>
  <si>
    <t>a)      optimální velikost dodávky</t>
  </si>
  <si>
    <t>b)      náklady odpovídající optimální velikosti dodávky</t>
  </si>
  <si>
    <t>c)      optimální délky cyklu dodávky</t>
  </si>
  <si>
    <t>d)      optimální počet dodávek</t>
  </si>
  <si>
    <r>
      <t xml:space="preserve">Za dobu 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 xml:space="preserve"> dní vyrobíme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výrobků. Součástky docházejí v dávkách, pro něž platí, že n</t>
    </r>
    <r>
      <rPr>
        <vertAlign val="subscript"/>
        <sz val="12"/>
        <rFont val="Arial"/>
        <family val="2"/>
      </rPr>
      <t>dod</t>
    </r>
    <r>
      <rPr>
        <sz val="12"/>
        <rFont val="Arial"/>
        <family val="2"/>
      </rPr>
      <t xml:space="preserve"> / n</t>
    </r>
    <r>
      <rPr>
        <vertAlign val="subscript"/>
        <sz val="12"/>
        <rFont val="Arial"/>
        <family val="2"/>
      </rPr>
      <t>skl</t>
    </r>
    <r>
      <rPr>
        <sz val="12"/>
        <rFont val="Arial"/>
        <family val="2"/>
      </rPr>
      <t xml:space="preserve">  = </t>
    </r>
    <r>
      <rPr>
        <u val="single"/>
        <sz val="12"/>
        <rFont val="Arial"/>
        <family val="2"/>
      </rPr>
      <t>Y</t>
    </r>
    <r>
      <rPr>
        <sz val="12"/>
        <rFont val="Arial"/>
        <family val="2"/>
      </rPr>
      <t xml:space="preserve"> </t>
    </r>
  </si>
  <si>
    <r>
      <t xml:space="preserve">a to vše při spotřebě </t>
    </r>
    <r>
      <rPr>
        <u val="single"/>
        <sz val="12"/>
        <rFont val="Arial"/>
        <family val="2"/>
      </rPr>
      <t>P</t>
    </r>
    <r>
      <rPr>
        <sz val="12"/>
        <rFont val="Arial"/>
        <family val="2"/>
      </rPr>
      <t xml:space="preserve"> součástek na 1 výrobek. Stanovte optimální velikost 1 dodávky a čas mezi</t>
    </r>
  </si>
  <si>
    <t xml:space="preserve"> jednotlivými dodávkami tak, aby nedošlo k narušení výroby.</t>
  </si>
  <si>
    <t>dne</t>
  </si>
  <si>
    <t>Příklad 10:</t>
  </si>
  <si>
    <t>počet let (n) =</t>
  </si>
  <si>
    <t>?</t>
  </si>
  <si>
    <r>
      <t xml:space="preserve">Máte splácet půjčku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(Kč)  při úrokové míře u (%) p.a. po dobu 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 xml:space="preserve"> let. </t>
    </r>
  </si>
  <si>
    <t>Jak velké zaplatíme úroky při splácení metodou konstantních anuit?</t>
  </si>
  <si>
    <t>půjčka =</t>
  </si>
  <si>
    <t>%    tj. i =</t>
  </si>
  <si>
    <t xml:space="preserve">n = </t>
  </si>
  <si>
    <t>a=</t>
  </si>
  <si>
    <r>
      <t xml:space="preserve">Máte splácet úvěr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(Kč)  při úrokové míře </t>
    </r>
    <r>
      <rPr>
        <u val="single"/>
        <sz val="12"/>
        <rFont val="Arial"/>
        <family val="2"/>
      </rPr>
      <t>u</t>
    </r>
    <r>
      <rPr>
        <sz val="12"/>
        <rFont val="Arial"/>
        <family val="2"/>
      </rPr>
      <t xml:space="preserve"> (%) p.a. po dobu </t>
    </r>
    <r>
      <rPr>
        <u val="single"/>
        <sz val="12"/>
        <rFont val="Arial"/>
        <family val="2"/>
      </rPr>
      <t>n</t>
    </r>
    <r>
      <rPr>
        <sz val="12"/>
        <rFont val="Arial"/>
        <family val="2"/>
      </rPr>
      <t xml:space="preserve"> let. </t>
    </r>
  </si>
  <si>
    <t>Jak velké zaplatíme úroky při splácení metodou konstantních úmorů?</t>
  </si>
  <si>
    <t>Roční úmor =</t>
  </si>
  <si>
    <t>konec 4</t>
  </si>
  <si>
    <t>Příklad 11:</t>
  </si>
  <si>
    <r>
      <t xml:space="preserve">Podnik, který letos dosáhl zisku ve výši </t>
    </r>
    <r>
      <rPr>
        <u val="single"/>
        <sz val="12"/>
        <rFont val="Arial"/>
        <family val="2"/>
      </rPr>
      <t>X</t>
    </r>
    <r>
      <rPr>
        <sz val="12"/>
        <rFont val="Arial"/>
        <family val="2"/>
      </rPr>
      <t xml:space="preserve"> Kč, očekává zvýšení provozních nákladů o </t>
    </r>
    <r>
      <rPr>
        <u val="single"/>
        <sz val="12"/>
        <rFont val="Arial"/>
        <family val="2"/>
      </rPr>
      <t>Y</t>
    </r>
    <r>
      <rPr>
        <sz val="12"/>
        <rFont val="Arial"/>
        <family val="2"/>
      </rPr>
      <t xml:space="preserve"> Kč v příštím roce (oproti roku letošnímu).</t>
    </r>
  </si>
  <si>
    <t>Příklad 12:</t>
  </si>
  <si>
    <t>Po jaké době se podniku ztrojnásobí zisk, jestliže každoročně roste o p (%)?</t>
  </si>
  <si>
    <t xml:space="preserve">%    </t>
  </si>
  <si>
    <t>Rok 0</t>
  </si>
  <si>
    <t>násobek zisku</t>
  </si>
  <si>
    <t>Zisk se trojnásobí po</t>
  </si>
  <si>
    <t>letech.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</si>
</sst>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  <numFmt numFmtId="167" formatCode="0.0000"/>
    <numFmt numFmtId="168" formatCode="#,##0.0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"/>
    <numFmt numFmtId="174" formatCode="#,##0.000000"/>
  </numFmts>
  <fonts count="19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vertAlign val="subscript"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1" fillId="0" borderId="1" xfId="20" applyBorder="1">
      <alignment/>
      <protection/>
    </xf>
    <xf numFmtId="0" fontId="1" fillId="0" borderId="0" xfId="20" applyFill="1">
      <alignment/>
      <protection/>
    </xf>
    <xf numFmtId="0" fontId="1" fillId="0" borderId="0" xfId="20" applyAlignment="1">
      <alignment horizontal="right"/>
      <protection/>
    </xf>
    <xf numFmtId="0" fontId="1" fillId="0" borderId="0" xfId="20" applyAlignment="1">
      <alignment horizontal="center"/>
      <protection/>
    </xf>
    <xf numFmtId="0" fontId="1" fillId="0" borderId="2" xfId="20" applyBorder="1" applyAlignment="1">
      <alignment horizontal="center"/>
      <protection/>
    </xf>
    <xf numFmtId="3" fontId="1" fillId="0" borderId="2" xfId="20" applyNumberFormat="1" applyBorder="1" applyAlignment="1">
      <alignment horizontal="center"/>
      <protection/>
    </xf>
    <xf numFmtId="165" fontId="1" fillId="0" borderId="0" xfId="20" applyNumberFormat="1">
      <alignment/>
      <protection/>
    </xf>
    <xf numFmtId="0" fontId="1" fillId="0" borderId="2" xfId="20" applyBorder="1" applyAlignment="1">
      <alignment horizontal="center" vertical="center"/>
      <protection/>
    </xf>
    <xf numFmtId="0" fontId="1" fillId="0" borderId="0" xfId="20" applyBorder="1">
      <alignment/>
      <protection/>
    </xf>
    <xf numFmtId="0" fontId="1" fillId="0" borderId="0" xfId="20" applyBorder="1" applyAlignment="1">
      <alignment horizontal="right"/>
      <protection/>
    </xf>
    <xf numFmtId="0" fontId="1" fillId="0" borderId="0" xfId="20" applyFill="1" applyBorder="1">
      <alignment/>
      <protection/>
    </xf>
    <xf numFmtId="3" fontId="1" fillId="0" borderId="0" xfId="20" applyNumberFormat="1" applyBorder="1">
      <alignment/>
      <protection/>
    </xf>
    <xf numFmtId="0" fontId="1" fillId="0" borderId="0" xfId="20" applyFill="1" applyBorder="1" applyAlignment="1">
      <alignment horizontal="center"/>
      <protection/>
    </xf>
    <xf numFmtId="0" fontId="1" fillId="0" borderId="1" xfId="20" applyFill="1" applyBorder="1">
      <alignment/>
      <protection/>
    </xf>
    <xf numFmtId="0" fontId="1" fillId="0" borderId="0" xfId="20" applyBorder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20" applyNumberFormat="1" applyBorder="1" applyAlignment="1">
      <alignment horizontal="center"/>
      <protection/>
    </xf>
    <xf numFmtId="164" fontId="1" fillId="0" borderId="0" xfId="20" applyNumberFormat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 indent="1"/>
    </xf>
    <xf numFmtId="3" fontId="6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64" fontId="8" fillId="0" borderId="2" xfId="0" applyNumberFormat="1" applyFont="1" applyBorder="1" applyAlignment="1">
      <alignment horizontal="left" vertical="center" indent="1"/>
    </xf>
    <xf numFmtId="0" fontId="10" fillId="0" borderId="0" xfId="20" applyFont="1">
      <alignment/>
      <protection/>
    </xf>
    <xf numFmtId="3" fontId="6" fillId="0" borderId="0" xfId="0" applyNumberFormat="1" applyFont="1" applyAlignment="1">
      <alignment horizontal="right" vertical="center"/>
    </xf>
    <xf numFmtId="3" fontId="8" fillId="0" borderId="2" xfId="0" applyNumberFormat="1" applyFont="1" applyBorder="1" applyAlignment="1">
      <alignment horizontal="left" vertical="center" indent="1"/>
    </xf>
    <xf numFmtId="0" fontId="10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0" fontId="1" fillId="0" borderId="1" xfId="20" applyFill="1" applyBorder="1" applyAlignment="1">
      <alignment vertical="center"/>
      <protection/>
    </xf>
    <xf numFmtId="3" fontId="1" fillId="0" borderId="1" xfId="20" applyNumberFormat="1" applyFill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10" fillId="0" borderId="0" xfId="20" applyFont="1" applyAlignment="1">
      <alignment horizontal="right"/>
      <protection/>
    </xf>
    <xf numFmtId="168" fontId="10" fillId="0" borderId="0" xfId="20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1" fillId="0" borderId="1" xfId="20" applyBorder="1" applyAlignment="1">
      <alignment vertical="center"/>
      <protection/>
    </xf>
    <xf numFmtId="3" fontId="1" fillId="0" borderId="0" xfId="20" applyNumberFormat="1" applyFill="1" applyAlignment="1">
      <alignment vertical="center"/>
      <protection/>
    </xf>
    <xf numFmtId="0" fontId="7" fillId="0" borderId="0" xfId="20" applyFont="1">
      <alignment/>
      <protection/>
    </xf>
    <xf numFmtId="0" fontId="13" fillId="0" borderId="0" xfId="20" applyFont="1" applyAlignment="1">
      <alignment horizontal="right"/>
      <protection/>
    </xf>
    <xf numFmtId="0" fontId="13" fillId="0" borderId="0" xfId="20" applyFont="1">
      <alignment/>
      <protection/>
    </xf>
    <xf numFmtId="0" fontId="6" fillId="0" borderId="3" xfId="0" applyFont="1" applyBorder="1" applyAlignment="1">
      <alignment vertical="center"/>
    </xf>
    <xf numFmtId="164" fontId="8" fillId="0" borderId="3" xfId="0" applyNumberFormat="1" applyFont="1" applyBorder="1" applyAlignment="1">
      <alignment horizontal="left" vertical="center" indent="1"/>
    </xf>
    <xf numFmtId="0" fontId="1" fillId="0" borderId="3" xfId="20" applyBorder="1">
      <alignment/>
      <protection/>
    </xf>
    <xf numFmtId="0" fontId="0" fillId="0" borderId="3" xfId="0" applyBorder="1" applyAlignment="1">
      <alignment/>
    </xf>
    <xf numFmtId="0" fontId="11" fillId="0" borderId="3" xfId="20" applyFont="1" applyBorder="1" applyAlignment="1">
      <alignment horizontal="right"/>
      <protection/>
    </xf>
    <xf numFmtId="168" fontId="11" fillId="0" borderId="3" xfId="20" applyNumberFormat="1" applyFont="1" applyBorder="1" applyAlignment="1">
      <alignment horizontal="center"/>
      <protection/>
    </xf>
    <xf numFmtId="4" fontId="11" fillId="0" borderId="3" xfId="20" applyNumberFormat="1" applyFont="1" applyBorder="1" applyAlignment="1">
      <alignment horizontal="center"/>
      <protection/>
    </xf>
    <xf numFmtId="0" fontId="7" fillId="0" borderId="3" xfId="20" applyFont="1" applyBorder="1" applyAlignment="1">
      <alignment horizontal="right"/>
      <protection/>
    </xf>
    <xf numFmtId="2" fontId="7" fillId="0" borderId="3" xfId="20" applyNumberFormat="1" applyFont="1" applyBorder="1">
      <alignment/>
      <protection/>
    </xf>
    <xf numFmtId="0" fontId="7" fillId="0" borderId="3" xfId="20" applyFont="1" applyBorder="1">
      <alignment/>
      <protection/>
    </xf>
    <xf numFmtId="0" fontId="13" fillId="0" borderId="3" xfId="20" applyFont="1" applyBorder="1">
      <alignment/>
      <protection/>
    </xf>
    <xf numFmtId="3" fontId="13" fillId="0" borderId="3" xfId="20" applyNumberFormat="1" applyFont="1" applyBorder="1">
      <alignment/>
      <protection/>
    </xf>
    <xf numFmtId="0" fontId="1" fillId="0" borderId="3" xfId="20" applyFont="1" applyBorder="1">
      <alignment/>
      <protection/>
    </xf>
    <xf numFmtId="0" fontId="14" fillId="0" borderId="0" xfId="20" applyFont="1">
      <alignment/>
      <protection/>
    </xf>
    <xf numFmtId="0" fontId="6" fillId="2" borderId="2" xfId="0" applyFont="1" applyFill="1" applyBorder="1" applyAlignment="1">
      <alignment horizontal="center"/>
    </xf>
    <xf numFmtId="0" fontId="7" fillId="2" borderId="2" xfId="20" applyFont="1" applyFill="1" applyBorder="1" applyAlignment="1">
      <alignment horizontal="center"/>
      <protection/>
    </xf>
    <xf numFmtId="169" fontId="7" fillId="0" borderId="2" xfId="20" applyNumberFormat="1" applyFont="1" applyBorder="1" applyAlignment="1">
      <alignment horizontal="center"/>
      <protection/>
    </xf>
    <xf numFmtId="164" fontId="7" fillId="0" borderId="2" xfId="20" applyNumberFormat="1" applyFont="1" applyBorder="1" applyAlignment="1">
      <alignment horizontal="center"/>
      <protection/>
    </xf>
    <xf numFmtId="3" fontId="7" fillId="0" borderId="2" xfId="20" applyNumberFormat="1" applyFont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20" applyFont="1">
      <alignment/>
      <protection/>
    </xf>
    <xf numFmtId="0" fontId="10" fillId="0" borderId="0" xfId="20" applyFont="1" applyBorder="1" applyAlignment="1">
      <alignment horizontal="right" vertical="center"/>
      <protection/>
    </xf>
    <xf numFmtId="0" fontId="10" fillId="0" borderId="0" xfId="20" applyFont="1" applyFill="1" applyBorder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10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10" fillId="0" borderId="1" xfId="20" applyFont="1" applyBorder="1" applyAlignment="1">
      <alignment horizontal="right" vertical="center"/>
      <protection/>
    </xf>
    <xf numFmtId="3" fontId="10" fillId="0" borderId="1" xfId="20" applyNumberFormat="1" applyFont="1" applyFill="1" applyBorder="1" applyAlignment="1">
      <alignment vertical="center"/>
      <protection/>
    </xf>
    <xf numFmtId="0" fontId="10" fillId="0" borderId="1" xfId="20" applyFont="1" applyBorder="1" applyAlignment="1">
      <alignment horizontal="left" vertical="center"/>
      <protection/>
    </xf>
    <xf numFmtId="0" fontId="10" fillId="0" borderId="1" xfId="20" applyFont="1" applyFill="1" applyBorder="1" applyAlignment="1">
      <alignment horizontal="right" vertical="center"/>
      <protection/>
    </xf>
    <xf numFmtId="0" fontId="10" fillId="0" borderId="1" xfId="20" applyFont="1" applyFill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3" fontId="10" fillId="0" borderId="0" xfId="20" applyNumberFormat="1" applyFont="1" applyFill="1" applyAlignment="1">
      <alignment horizontal="left" vertical="center"/>
      <protection/>
    </xf>
    <xf numFmtId="3" fontId="10" fillId="0" borderId="0" xfId="20" applyNumberFormat="1" applyFont="1" applyAlignment="1">
      <alignment vertical="center"/>
      <protection/>
    </xf>
    <xf numFmtId="3" fontId="10" fillId="0" borderId="0" xfId="20" applyNumberFormat="1" applyFont="1" applyFill="1" applyAlignment="1">
      <alignment vertical="center"/>
      <protection/>
    </xf>
    <xf numFmtId="0" fontId="10" fillId="0" borderId="1" xfId="20" applyFont="1" applyBorder="1" applyAlignment="1">
      <alignment vertical="center"/>
      <protection/>
    </xf>
    <xf numFmtId="0" fontId="10" fillId="0" borderId="1" xfId="20" applyFont="1" applyFill="1" applyBorder="1" applyAlignment="1">
      <alignment horizontal="left" vertical="center"/>
      <protection/>
    </xf>
    <xf numFmtId="0" fontId="10" fillId="0" borderId="1" xfId="20" applyFont="1" applyBorder="1" applyAlignment="1">
      <alignment horizontal="right"/>
      <protection/>
    </xf>
    <xf numFmtId="0" fontId="10" fillId="0" borderId="1" xfId="20" applyFont="1" applyBorder="1">
      <alignment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0" xfId="20" applyFont="1" applyAlignment="1">
      <alignment horizontal="right" vertical="center"/>
      <protection/>
    </xf>
    <xf numFmtId="0" fontId="1" fillId="0" borderId="0" xfId="20" applyFont="1" applyAlignment="1">
      <alignment horizontal="center" vertical="center"/>
      <protection/>
    </xf>
    <xf numFmtId="3" fontId="10" fillId="0" borderId="0" xfId="20" applyNumberFormat="1" applyFont="1" applyAlignment="1">
      <alignment horizontal="center" vertical="center"/>
      <protection/>
    </xf>
    <xf numFmtId="3" fontId="10" fillId="0" borderId="0" xfId="20" applyNumberFormat="1" applyFont="1" applyFill="1" applyAlignment="1">
      <alignment horizontal="left" vertical="center" indent="4"/>
      <protection/>
    </xf>
    <xf numFmtId="164" fontId="10" fillId="0" borderId="0" xfId="20" applyNumberFormat="1" applyFont="1" applyAlignment="1">
      <alignment horizontal="center"/>
      <protection/>
    </xf>
    <xf numFmtId="3" fontId="10" fillId="0" borderId="0" xfId="20" applyNumberFormat="1" applyFont="1">
      <alignment/>
      <protection/>
    </xf>
    <xf numFmtId="0" fontId="16" fillId="0" borderId="0" xfId="20" applyFont="1" applyAlignment="1">
      <alignment horizontal="right"/>
      <protection/>
    </xf>
    <xf numFmtId="173" fontId="10" fillId="0" borderId="0" xfId="20" applyNumberFormat="1" applyFont="1">
      <alignment/>
      <protection/>
    </xf>
    <xf numFmtId="2" fontId="10" fillId="0" borderId="0" xfId="20" applyNumberFormat="1" applyFont="1">
      <alignment/>
      <protection/>
    </xf>
    <xf numFmtId="168" fontId="16" fillId="0" borderId="0" xfId="20" applyNumberFormat="1" applyFont="1" applyAlignment="1">
      <alignment horizontal="center"/>
      <protection/>
    </xf>
    <xf numFmtId="4" fontId="16" fillId="0" borderId="0" xfId="20" applyNumberFormat="1" applyFont="1" applyAlignment="1">
      <alignment horizontal="center"/>
      <protection/>
    </xf>
    <xf numFmtId="0" fontId="10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horizontal="right" vertical="center"/>
      <protection/>
    </xf>
    <xf numFmtId="4" fontId="10" fillId="0" borderId="0" xfId="20" applyNumberFormat="1" applyFont="1">
      <alignment/>
      <protection/>
    </xf>
    <xf numFmtId="0" fontId="1" fillId="0" borderId="0" xfId="20" applyFill="1" applyAlignment="1">
      <alignment vertical="center"/>
      <protection/>
    </xf>
    <xf numFmtId="0" fontId="6" fillId="0" borderId="0" xfId="0" applyFont="1" applyAlignment="1">
      <alignment horizontal="right"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0" xfId="0" applyNumberForma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0" applyFont="1">
      <alignment/>
      <protection/>
    </xf>
    <xf numFmtId="0" fontId="10" fillId="0" borderId="3" xfId="20" applyFont="1" applyBorder="1">
      <alignment/>
      <protection/>
    </xf>
    <xf numFmtId="0" fontId="1" fillId="0" borderId="3" xfId="20" applyBorder="1" applyAlignment="1">
      <alignment horizontal="right"/>
      <protection/>
    </xf>
    <xf numFmtId="3" fontId="1" fillId="0" borderId="3" xfId="20" applyNumberFormat="1" applyBorder="1">
      <alignment/>
      <protection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4" fontId="8" fillId="0" borderId="0" xfId="0" applyNumberFormat="1" applyFont="1" applyAlignment="1">
      <alignment/>
    </xf>
    <xf numFmtId="4" fontId="8" fillId="0" borderId="2" xfId="0" applyNumberFormat="1" applyFont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10" fillId="0" borderId="3" xfId="20" applyFont="1" applyBorder="1" applyAlignment="1">
      <alignment horizontal="right"/>
      <protection/>
    </xf>
    <xf numFmtId="3" fontId="10" fillId="0" borderId="3" xfId="20" applyNumberFormat="1" applyFont="1" applyBorder="1">
      <alignment/>
      <protection/>
    </xf>
    <xf numFmtId="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0" fillId="0" borderId="1" xfId="20" applyNumberFormat="1" applyFont="1" applyBorder="1" applyAlignment="1">
      <alignment horizontal="right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3" fontId="10" fillId="0" borderId="0" xfId="20" applyNumberFormat="1" applyFont="1" applyFill="1" applyBorder="1" applyAlignment="1">
      <alignment vertical="center"/>
      <protection/>
    </xf>
    <xf numFmtId="3" fontId="10" fillId="0" borderId="1" xfId="20" applyNumberFormat="1" applyFont="1" applyFill="1" applyBorder="1" applyAlignment="1">
      <alignment horizontal="right" vertical="center"/>
      <protection/>
    </xf>
    <xf numFmtId="164" fontId="10" fillId="0" borderId="0" xfId="20" applyNumberFormat="1" applyFont="1">
      <alignment/>
      <protection/>
    </xf>
    <xf numFmtId="0" fontId="10" fillId="0" borderId="3" xfId="20" applyFont="1" applyBorder="1" applyAlignment="1">
      <alignment horizontal="right"/>
      <protection/>
    </xf>
    <xf numFmtId="0" fontId="10" fillId="0" borderId="3" xfId="20" applyFont="1" applyBorder="1" applyAlignment="1">
      <alignment horizontal="center"/>
      <protection/>
    </xf>
    <xf numFmtId="0" fontId="10" fillId="0" borderId="3" xfId="20" applyFont="1" applyBorder="1">
      <alignment/>
      <protection/>
    </xf>
    <xf numFmtId="166" fontId="1" fillId="0" borderId="3" xfId="20" applyNumberFormat="1" applyBorder="1">
      <alignment/>
      <protection/>
    </xf>
    <xf numFmtId="0" fontId="10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10" fillId="0" borderId="0" xfId="20" applyFont="1" applyAlignment="1">
      <alignment vertical="center"/>
      <protection/>
    </xf>
    <xf numFmtId="0" fontId="10" fillId="0" borderId="1" xfId="20" applyFont="1" applyBorder="1" applyAlignment="1">
      <alignment vertical="center"/>
      <protection/>
    </xf>
    <xf numFmtId="0" fontId="1" fillId="0" borderId="0" xfId="20" applyFill="1" applyAlignment="1">
      <alignment horizontal="right" vertical="center"/>
      <protection/>
    </xf>
    <xf numFmtId="2" fontId="10" fillId="0" borderId="1" xfId="20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center" wrapText="1"/>
    </xf>
    <xf numFmtId="3" fontId="10" fillId="0" borderId="0" xfId="20" applyNumberFormat="1" applyFont="1" applyFill="1" applyAlignment="1">
      <alignment horizontal="center" vertical="center"/>
      <protection/>
    </xf>
    <xf numFmtId="3" fontId="10" fillId="0" borderId="1" xfId="20" applyNumberFormat="1" applyFont="1" applyFill="1" applyBorder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2" borderId="2" xfId="20" applyFont="1" applyFill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64" fontId="1" fillId="0" borderId="2" xfId="20" applyNumberFormat="1" applyFont="1" applyBorder="1" applyAlignment="1">
      <alignment horizontal="center" vertical="center"/>
      <protection/>
    </xf>
    <xf numFmtId="167" fontId="1" fillId="0" borderId="2" xfId="20" applyNumberFormat="1" applyBorder="1" applyAlignment="1">
      <alignment horizontal="center"/>
      <protection/>
    </xf>
    <xf numFmtId="4" fontId="1" fillId="0" borderId="2" xfId="20" applyNumberFormat="1" applyBorder="1" applyAlignment="1">
      <alignment horizontal="center"/>
      <protection/>
    </xf>
    <xf numFmtId="0" fontId="10" fillId="0" borderId="2" xfId="20" applyFont="1" applyBorder="1" applyAlignment="1">
      <alignment horizontal="center"/>
      <protection/>
    </xf>
    <xf numFmtId="3" fontId="10" fillId="0" borderId="2" xfId="20" applyNumberFormat="1" applyFont="1" applyBorder="1" applyAlignment="1">
      <alignment horizontal="center"/>
      <protection/>
    </xf>
    <xf numFmtId="0" fontId="10" fillId="0" borderId="0" xfId="20" applyFont="1" applyBorder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2" xfId="20" applyFont="1" applyFill="1" applyBorder="1" applyAlignment="1">
      <alignment horizontal="center"/>
      <protection/>
    </xf>
    <xf numFmtId="3" fontId="10" fillId="0" borderId="0" xfId="20" applyNumberFormat="1" applyFont="1" applyBorder="1">
      <alignment/>
      <protection/>
    </xf>
    <xf numFmtId="0" fontId="10" fillId="0" borderId="0" xfId="20" applyFont="1" applyFill="1" applyBorder="1" applyAlignment="1">
      <alignment horizontal="center"/>
      <protection/>
    </xf>
    <xf numFmtId="0" fontId="1" fillId="0" borderId="3" xfId="20" applyFill="1" applyBorder="1" applyAlignment="1">
      <alignment horizontal="center"/>
      <protection/>
    </xf>
    <xf numFmtId="0" fontId="10" fillId="0" borderId="2" xfId="20" applyFont="1" applyFill="1" applyBorder="1">
      <alignment/>
      <protection/>
    </xf>
    <xf numFmtId="164" fontId="1" fillId="0" borderId="2" xfId="20" applyNumberFormat="1" applyFont="1" applyBorder="1" applyAlignment="1">
      <alignment horizontal="center"/>
      <protection/>
    </xf>
    <xf numFmtId="0" fontId="4" fillId="0" borderId="3" xfId="20" applyFont="1" applyBorder="1">
      <alignment/>
      <protection/>
    </xf>
    <xf numFmtId="0" fontId="1" fillId="0" borderId="3" xfId="20" applyFill="1" applyBorder="1">
      <alignment/>
      <protection/>
    </xf>
    <xf numFmtId="3" fontId="10" fillId="0" borderId="0" xfId="20" applyNumberFormat="1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10" fillId="0" borderId="2" xfId="20" applyFont="1" applyFill="1" applyBorder="1" applyAlignment="1">
      <alignment horizontal="right"/>
      <protection/>
    </xf>
    <xf numFmtId="0" fontId="1" fillId="0" borderId="3" xfId="20" applyBorder="1" applyAlignment="1">
      <alignment horizontal="center"/>
      <protection/>
    </xf>
    <xf numFmtId="0" fontId="10" fillId="0" borderId="0" xfId="20" applyFont="1" applyBorder="1" applyAlignment="1">
      <alignment horizontal="center"/>
      <protection/>
    </xf>
    <xf numFmtId="3" fontId="1" fillId="0" borderId="2" xfId="20" applyNumberFormat="1" applyFont="1" applyBorder="1" applyAlignment="1">
      <alignment horizontal="center"/>
      <protection/>
    </xf>
    <xf numFmtId="3" fontId="1" fillId="0" borderId="0" xfId="20" applyNumberFormat="1" applyFont="1" applyBorder="1" applyAlignment="1">
      <alignment horizontal="center"/>
      <protection/>
    </xf>
    <xf numFmtId="164" fontId="1" fillId="0" borderId="0" xfId="20" applyNumberFormat="1" applyFont="1" applyBorder="1" applyAlignment="1">
      <alignment horizontal="center"/>
      <protection/>
    </xf>
    <xf numFmtId="0" fontId="10" fillId="0" borderId="3" xfId="20" applyFont="1" applyFill="1" applyBorder="1" applyAlignment="1">
      <alignment horizontal="center"/>
      <protection/>
    </xf>
    <xf numFmtId="3" fontId="1" fillId="0" borderId="3" xfId="20" applyNumberFormat="1" applyFont="1" applyBorder="1" applyAlignment="1">
      <alignment horizontal="center"/>
      <protection/>
    </xf>
    <xf numFmtId="164" fontId="1" fillId="0" borderId="3" xfId="20" applyNumberFormat="1" applyFont="1" applyBorder="1" applyAlignment="1">
      <alignment horizontal="center"/>
      <protection/>
    </xf>
    <xf numFmtId="3" fontId="10" fillId="0" borderId="0" xfId="20" applyNumberFormat="1" applyFont="1" applyBorder="1" applyAlignment="1">
      <alignment horizontal="center"/>
      <protection/>
    </xf>
    <xf numFmtId="164" fontId="10" fillId="0" borderId="0" xfId="20" applyNumberFormat="1" applyFont="1" applyBorder="1" applyAlignment="1">
      <alignment horizontal="center"/>
      <protection/>
    </xf>
    <xf numFmtId="3" fontId="1" fillId="0" borderId="3" xfId="20" applyNumberFormat="1" applyFont="1" applyBorder="1">
      <alignment/>
      <protection/>
    </xf>
    <xf numFmtId="0" fontId="7" fillId="0" borderId="0" xfId="0" applyFont="1" applyAlignment="1">
      <alignment/>
    </xf>
    <xf numFmtId="0" fontId="10" fillId="0" borderId="0" xfId="20" applyFont="1">
      <alignment/>
      <protection/>
    </xf>
    <xf numFmtId="0" fontId="10" fillId="0" borderId="0" xfId="0" applyFont="1" applyAlignment="1">
      <alignment/>
    </xf>
    <xf numFmtId="3" fontId="10" fillId="0" borderId="0" xfId="20" applyNumberFormat="1" applyFont="1" applyAlignment="1">
      <alignment horizontal="center" vertical="center"/>
      <protection/>
    </xf>
    <xf numFmtId="3" fontId="7" fillId="0" borderId="0" xfId="20" applyNumberFormat="1" applyFont="1" applyAlignment="1">
      <alignment horizontal="center" vertical="center"/>
      <protection/>
    </xf>
    <xf numFmtId="3" fontId="10" fillId="0" borderId="0" xfId="20" applyNumberFormat="1" applyFont="1" applyFill="1" applyAlignment="1">
      <alignment horizontal="right" vertical="center"/>
      <protection/>
    </xf>
    <xf numFmtId="0" fontId="10" fillId="0" borderId="0" xfId="20" applyFont="1" applyAlignment="1">
      <alignment horizontal="right" indent="1"/>
      <protection/>
    </xf>
    <xf numFmtId="3" fontId="10" fillId="0" borderId="0" xfId="20" applyNumberFormat="1" applyFont="1" applyAlignment="1">
      <alignment horizontal="right" indent="1"/>
      <protection/>
    </xf>
    <xf numFmtId="0" fontId="10" fillId="0" borderId="2" xfId="20" applyFont="1" applyBorder="1" applyAlignment="1">
      <alignment horizontal="right" indent="1"/>
      <protection/>
    </xf>
    <xf numFmtId="3" fontId="10" fillId="0" borderId="2" xfId="20" applyNumberFormat="1" applyFont="1" applyBorder="1" applyAlignment="1">
      <alignment horizontal="right" indent="1"/>
      <protection/>
    </xf>
    <xf numFmtId="0" fontId="7" fillId="0" borderId="0" xfId="20" applyFont="1" applyAlignment="1">
      <alignment vertical="center"/>
      <protection/>
    </xf>
    <xf numFmtId="0" fontId="7" fillId="2" borderId="2" xfId="20" applyFont="1" applyFill="1" applyBorder="1" applyAlignment="1">
      <alignment vertical="center"/>
      <protection/>
    </xf>
    <xf numFmtId="3" fontId="10" fillId="0" borderId="0" xfId="20" applyNumberFormat="1" applyFont="1" applyFill="1">
      <alignment/>
      <protection/>
    </xf>
    <xf numFmtId="0" fontId="1" fillId="0" borderId="0" xfId="20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1" fillId="0" borderId="1" xfId="20" applyFont="1" applyBorder="1" applyAlignment="1">
      <alignment vertical="center"/>
      <protection/>
    </xf>
    <xf numFmtId="3" fontId="10" fillId="0" borderId="1" xfId="20" applyNumberFormat="1" applyFont="1" applyFill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3" fontId="10" fillId="0" borderId="0" xfId="20" applyNumberFormat="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/>
      <protection/>
    </xf>
    <xf numFmtId="0" fontId="10" fillId="0" borderId="0" xfId="20" applyFont="1" applyFill="1" applyAlignment="1">
      <alignment horizontal="center" vertical="center"/>
      <protection/>
    </xf>
    <xf numFmtId="0" fontId="10" fillId="0" borderId="0" xfId="20" applyFont="1" applyFill="1" applyAlignment="1">
      <alignment horizontal="center" vertical="center"/>
      <protection/>
    </xf>
    <xf numFmtId="0" fontId="10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horizontal="left" vertical="center"/>
      <protection/>
    </xf>
    <xf numFmtId="0" fontId="7" fillId="0" borderId="0" xfId="0" applyFont="1" applyAlignment="1">
      <alignment horizontal="left"/>
    </xf>
    <xf numFmtId="0" fontId="4" fillId="0" borderId="1" xfId="20" applyFont="1" applyBorder="1" applyAlignment="1">
      <alignment vertic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20" applyFont="1" applyFill="1" applyAlignment="1">
      <alignment vertical="center"/>
      <protection/>
    </xf>
    <xf numFmtId="0" fontId="1" fillId="0" borderId="0" xfId="20" applyFill="1" applyAlignment="1">
      <alignment horizontal="center" vertical="center"/>
      <protection/>
    </xf>
    <xf numFmtId="0" fontId="10" fillId="0" borderId="1" xfId="20" applyFont="1" applyFill="1" applyBorder="1" applyAlignment="1">
      <alignment vertical="center"/>
      <protection/>
    </xf>
    <xf numFmtId="0" fontId="7" fillId="0" borderId="1" xfId="20" applyFont="1" applyFill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169" fontId="10" fillId="0" borderId="0" xfId="20" applyNumberFormat="1" applyFont="1" applyBorder="1" applyAlignment="1">
      <alignment horizontal="center"/>
      <protection/>
    </xf>
    <xf numFmtId="3" fontId="18" fillId="0" borderId="2" xfId="20" applyNumberFormat="1" applyFont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center" vertical="center"/>
      <protection/>
    </xf>
    <xf numFmtId="0" fontId="9" fillId="0" borderId="1" xfId="20" applyFont="1" applyBorder="1" applyAlignment="1">
      <alignment vertical="center"/>
      <protection/>
    </xf>
    <xf numFmtId="3" fontId="1" fillId="0" borderId="0" xfId="20" applyNumberFormat="1" applyFont="1" applyFill="1" applyAlignment="1">
      <alignment vertical="center"/>
      <protection/>
    </xf>
    <xf numFmtId="3" fontId="10" fillId="0" borderId="0" xfId="20" applyNumberFormat="1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3" fontId="7" fillId="2" borderId="2" xfId="20" applyNumberFormat="1" applyFont="1" applyFill="1" applyBorder="1" applyAlignment="1">
      <alignment horizontal="center" vertical="center" wrapText="1"/>
      <protection/>
    </xf>
    <xf numFmtId="164" fontId="7" fillId="2" borderId="2" xfId="20" applyNumberFormat="1" applyFont="1" applyFill="1" applyBorder="1" applyAlignment="1">
      <alignment horizontal="center" vertical="center" wrapText="1"/>
      <protection/>
    </xf>
    <xf numFmtId="3" fontId="1" fillId="0" borderId="2" xfId="20" applyNumberFormat="1" applyFont="1" applyBorder="1" applyAlignment="1">
      <alignment horizontal="right" indent="1"/>
      <protection/>
    </xf>
    <xf numFmtId="0" fontId="10" fillId="0" borderId="0" xfId="0" applyFont="1" applyAlignment="1">
      <alignment horizontal="left" indent="6"/>
    </xf>
    <xf numFmtId="0" fontId="10" fillId="0" borderId="0" xfId="0" applyFont="1" applyAlignment="1">
      <alignment/>
    </xf>
    <xf numFmtId="169" fontId="10" fillId="0" borderId="0" xfId="20" applyNumberFormat="1" applyFont="1">
      <alignment/>
      <protection/>
    </xf>
    <xf numFmtId="3" fontId="10" fillId="0" borderId="1" xfId="20" applyNumberFormat="1" applyFont="1" applyFill="1" applyBorder="1">
      <alignment/>
      <protection/>
    </xf>
    <xf numFmtId="0" fontId="10" fillId="0" borderId="0" xfId="20" applyFont="1" applyFill="1" applyAlignment="1">
      <alignment horizontal="left" vertical="center" indent="4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0" xfId="20" applyFont="1" applyBorder="1">
      <alignment/>
      <protection/>
    </xf>
    <xf numFmtId="0" fontId="10" fillId="0" borderId="0" xfId="20" applyFont="1" applyBorder="1" applyAlignment="1">
      <alignment horizontal="right"/>
      <protection/>
    </xf>
    <xf numFmtId="3" fontId="10" fillId="0" borderId="0" xfId="20" applyNumberFormat="1" applyFont="1" applyBorder="1">
      <alignment/>
      <protection/>
    </xf>
    <xf numFmtId="0" fontId="10" fillId="0" borderId="0" xfId="20" applyFont="1" applyBorder="1" applyAlignment="1">
      <alignment horizontal="right" vertical="center"/>
      <protection/>
    </xf>
    <xf numFmtId="3" fontId="10" fillId="0" borderId="0" xfId="20" applyNumberFormat="1" applyFont="1" applyBorder="1" applyAlignment="1">
      <alignment vertical="center"/>
      <protection/>
    </xf>
    <xf numFmtId="4" fontId="10" fillId="0" borderId="0" xfId="20" applyNumberFormat="1" applyFont="1" applyBorder="1" applyAlignment="1">
      <alignment vertical="center"/>
      <protection/>
    </xf>
    <xf numFmtId="0" fontId="10" fillId="0" borderId="1" xfId="20" applyFont="1" applyBorder="1">
      <alignment/>
      <protection/>
    </xf>
    <xf numFmtId="0" fontId="10" fillId="0" borderId="1" xfId="20" applyFont="1" applyBorder="1" applyAlignment="1">
      <alignment horizontal="right" vertical="center"/>
      <protection/>
    </xf>
    <xf numFmtId="0" fontId="10" fillId="0" borderId="1" xfId="20" applyFont="1" applyBorder="1" applyAlignment="1">
      <alignment horizontal="center" vertical="center"/>
      <protection/>
    </xf>
    <xf numFmtId="3" fontId="10" fillId="0" borderId="1" xfId="20" applyNumberFormat="1" applyFont="1" applyBorder="1" applyAlignment="1">
      <alignment vertical="center"/>
      <protection/>
    </xf>
    <xf numFmtId="3" fontId="10" fillId="0" borderId="1" xfId="20" applyNumberFormat="1" applyFont="1" applyBorder="1">
      <alignment/>
      <protection/>
    </xf>
    <xf numFmtId="0" fontId="10" fillId="0" borderId="0" xfId="20" applyFont="1" applyBorder="1" applyAlignment="1">
      <alignment horizontal="center" vertical="center"/>
      <protection/>
    </xf>
    <xf numFmtId="164" fontId="10" fillId="0" borderId="0" xfId="20" applyNumberFormat="1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/>
      <protection/>
    </xf>
    <xf numFmtId="4" fontId="7" fillId="0" borderId="2" xfId="20" applyNumberFormat="1" applyFont="1" applyBorder="1" applyAlignment="1">
      <alignment horizontal="right"/>
      <protection/>
    </xf>
    <xf numFmtId="4" fontId="7" fillId="0" borderId="2" xfId="20" applyNumberFormat="1" applyFont="1" applyBorder="1">
      <alignment/>
      <protection/>
    </xf>
    <xf numFmtId="164" fontId="7" fillId="0" borderId="2" xfId="20" applyNumberFormat="1" applyFont="1" applyBorder="1">
      <alignment/>
      <protection/>
    </xf>
    <xf numFmtId="3" fontId="10" fillId="0" borderId="0" xfId="20" applyNumberFormat="1" applyFont="1" applyBorder="1" applyAlignment="1">
      <alignment horizontal="right" vertical="center"/>
      <protection/>
    </xf>
    <xf numFmtId="3" fontId="10" fillId="2" borderId="2" xfId="20" applyNumberFormat="1" applyFont="1" applyFill="1" applyBorder="1" applyAlignment="1">
      <alignment horizontal="center" vertical="center"/>
      <protection/>
    </xf>
    <xf numFmtId="3" fontId="1" fillId="2" borderId="2" xfId="20" applyNumberFormat="1" applyFont="1" applyFill="1" applyBorder="1" applyAlignment="1">
      <alignment horizontal="center" vertical="center"/>
      <protection/>
    </xf>
    <xf numFmtId="3" fontId="1" fillId="0" borderId="0" xfId="20" applyNumberFormat="1" applyFont="1" applyBorder="1" applyAlignment="1">
      <alignment horizontal="center" vertical="center"/>
      <protection/>
    </xf>
    <xf numFmtId="3" fontId="10" fillId="0" borderId="2" xfId="20" applyNumberFormat="1" applyFont="1" applyBorder="1" applyAlignment="1">
      <alignment horizontal="center" vertical="center"/>
      <protection/>
    </xf>
    <xf numFmtId="3" fontId="10" fillId="0" borderId="2" xfId="20" applyNumberFormat="1" applyFont="1" applyBorder="1" applyAlignment="1">
      <alignment horizontal="center"/>
      <protection/>
    </xf>
    <xf numFmtId="3" fontId="10" fillId="0" borderId="0" xfId="20" applyNumberFormat="1" applyFont="1" applyBorder="1" applyAlignment="1">
      <alignment horizontal="right"/>
      <protection/>
    </xf>
    <xf numFmtId="3" fontId="9" fillId="0" borderId="0" xfId="20" applyNumberFormat="1" applyFont="1" applyBorder="1" applyAlignment="1">
      <alignment horizontal="right"/>
      <protection/>
    </xf>
    <xf numFmtId="3" fontId="9" fillId="0" borderId="0" xfId="20" applyNumberFormat="1" applyFont="1" applyBorder="1">
      <alignment/>
      <protection/>
    </xf>
    <xf numFmtId="0" fontId="9" fillId="0" borderId="0" xfId="20" applyFont="1" applyAlignment="1">
      <alignment horizontal="center"/>
      <protection/>
    </xf>
    <xf numFmtId="0" fontId="7" fillId="0" borderId="0" xfId="20" applyFont="1" applyBorder="1">
      <alignment/>
      <protection/>
    </xf>
    <xf numFmtId="0" fontId="7" fillId="0" borderId="1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10" fillId="2" borderId="2" xfId="20" applyFont="1" applyFill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4" fontId="10" fillId="0" borderId="2" xfId="20" applyNumberFormat="1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4" fontId="10" fillId="0" borderId="2" xfId="20" applyNumberFormat="1" applyFont="1" applyBorder="1" applyAlignment="1">
      <alignment horizontal="center" vertical="center"/>
      <protection/>
    </xf>
    <xf numFmtId="4" fontId="10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Alignment="1">
      <alignment horizontal="right" vertical="center"/>
      <protection/>
    </xf>
    <xf numFmtId="3" fontId="9" fillId="0" borderId="0" xfId="20" applyNumberFormat="1" applyFont="1" applyBorder="1" applyAlignment="1">
      <alignment horizontal="center" vertical="center"/>
      <protection/>
    </xf>
    <xf numFmtId="4" fontId="10" fillId="0" borderId="0" xfId="20" applyNumberFormat="1" applyFont="1" applyBorder="1" applyAlignment="1">
      <alignment horizontal="left" vertical="center"/>
      <protection/>
    </xf>
    <xf numFmtId="166" fontId="9" fillId="0" borderId="0" xfId="20" applyNumberFormat="1" applyFont="1">
      <alignment/>
      <protection/>
    </xf>
    <xf numFmtId="0" fontId="10" fillId="0" borderId="4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164" fontId="1" fillId="0" borderId="2" xfId="20" applyNumberFormat="1" applyFont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horizontal="center" vertical="center"/>
      <protection/>
    </xf>
    <xf numFmtId="0" fontId="10" fillId="0" borderId="4" xfId="20" applyFont="1" applyBorder="1" applyAlignment="1">
      <alignment horizontal="center"/>
      <protection/>
    </xf>
    <xf numFmtId="0" fontId="10" fillId="0" borderId="5" xfId="20" applyFont="1" applyBorder="1" applyAlignment="1">
      <alignment horizontal="center"/>
      <protection/>
    </xf>
    <xf numFmtId="4" fontId="10" fillId="0" borderId="0" xfId="20" applyNumberFormat="1" applyFont="1" applyAlignment="1">
      <alignment horizontal="right"/>
      <protection/>
    </xf>
    <xf numFmtId="174" fontId="10" fillId="0" borderId="0" xfId="20" applyNumberFormat="1" applyFont="1" applyAlignment="1">
      <alignment horizontal="right"/>
      <protection/>
    </xf>
    <xf numFmtId="3" fontId="6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/>
    </xf>
    <xf numFmtId="0" fontId="10" fillId="0" borderId="0" xfId="20" applyFont="1" applyAlignment="1">
      <alignment horizontal="left"/>
      <protection/>
    </xf>
    <xf numFmtId="0" fontId="7" fillId="2" borderId="2" xfId="20" applyFont="1" applyFill="1" applyBorder="1" applyAlignment="1">
      <alignment horizontal="center"/>
      <protection/>
    </xf>
    <xf numFmtId="0" fontId="10" fillId="0" borderId="2" xfId="20" applyFont="1" applyBorder="1" applyAlignment="1">
      <alignment horizontal="left" indent="1"/>
      <protection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7" fontId="1" fillId="0" borderId="4" xfId="20" applyNumberFormat="1" applyBorder="1" applyAlignment="1">
      <alignment horizontal="center"/>
      <protection/>
    </xf>
    <xf numFmtId="167" fontId="1" fillId="0" borderId="5" xfId="20" applyNumberFormat="1" applyBorder="1" applyAlignment="1">
      <alignment horizontal="center"/>
      <protection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3" fontId="1" fillId="0" borderId="2" xfId="20" applyNumberFormat="1" applyFont="1" applyBorder="1" applyAlignment="1">
      <alignment horizontal="center"/>
      <protection/>
    </xf>
    <xf numFmtId="3" fontId="1" fillId="0" borderId="2" xfId="20" applyNumberFormat="1" applyFont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center" vertical="center"/>
      <protection/>
    </xf>
    <xf numFmtId="0" fontId="10" fillId="2" borderId="2" xfId="20" applyFont="1" applyFill="1" applyBorder="1" applyAlignment="1">
      <alignment horizontal="center" vertical="center"/>
      <protection/>
    </xf>
    <xf numFmtId="3" fontId="7" fillId="0" borderId="2" xfId="20" applyNumberFormat="1" applyFont="1" applyFill="1" applyBorder="1" applyAlignment="1">
      <alignment horizontal="center"/>
      <protection/>
    </xf>
    <xf numFmtId="0" fontId="7" fillId="0" borderId="2" xfId="20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"/>
      <protection/>
    </xf>
    <xf numFmtId="0" fontId="10" fillId="0" borderId="0" xfId="0" applyFont="1" applyAlignment="1">
      <alignment horizontal="left" wrapText="1"/>
    </xf>
    <xf numFmtId="3" fontId="18" fillId="0" borderId="2" xfId="20" applyNumberFormat="1" applyFont="1" applyBorder="1" applyAlignment="1">
      <alignment horizontal="center"/>
      <protection/>
    </xf>
    <xf numFmtId="3" fontId="10" fillId="0" borderId="2" xfId="20" applyNumberFormat="1" applyFont="1" applyBorder="1" applyAlignment="1">
      <alignment horizontal="center"/>
      <protection/>
    </xf>
    <xf numFmtId="0" fontId="10" fillId="2" borderId="4" xfId="20" applyFont="1" applyFill="1" applyBorder="1" applyAlignment="1">
      <alignment horizontal="center" vertical="center"/>
      <protection/>
    </xf>
    <xf numFmtId="0" fontId="10" fillId="2" borderId="5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riklady_automatick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13.00390625" style="1" customWidth="1"/>
    <col min="3" max="3" width="15.375" style="1" customWidth="1"/>
    <col min="4" max="4" width="12.625" style="1" customWidth="1"/>
    <col min="5" max="5" width="13.375" style="1" bestFit="1" customWidth="1"/>
    <col min="6" max="6" width="11.75390625" style="1" bestFit="1" customWidth="1"/>
    <col min="7" max="7" width="12.875" style="1" bestFit="1" customWidth="1"/>
    <col min="8" max="8" width="13.375" style="1" bestFit="1" customWidth="1"/>
    <col min="9" max="9" width="12.125" style="1" bestFit="1" customWidth="1"/>
    <col min="10" max="10" width="2.00390625" style="1" customWidth="1"/>
    <col min="11" max="11" width="13.00390625" style="1" customWidth="1"/>
    <col min="12" max="12" width="0" style="1" hidden="1" customWidth="1"/>
    <col min="13" max="16384" width="9.125" style="1" customWidth="1"/>
  </cols>
  <sheetData>
    <row r="2" ht="15">
      <c r="B2" s="40" t="s">
        <v>129</v>
      </c>
    </row>
    <row r="3" ht="26.25" customHeight="1">
      <c r="B3" s="70" t="s">
        <v>0</v>
      </c>
    </row>
    <row r="5" spans="2:12" ht="15.75">
      <c r="B5" s="32" t="s">
        <v>1</v>
      </c>
      <c r="C5"/>
      <c r="D5"/>
      <c r="E5"/>
      <c r="F5"/>
      <c r="G5"/>
      <c r="H5"/>
      <c r="I5"/>
      <c r="J5"/>
      <c r="K5"/>
      <c r="L5"/>
    </row>
    <row r="6" spans="2:12" ht="15">
      <c r="B6" s="323" t="s">
        <v>114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</row>
    <row r="7" spans="2:12" ht="15.75">
      <c r="B7" s="77" t="s">
        <v>132</v>
      </c>
      <c r="C7" s="78"/>
      <c r="D7" s="78"/>
      <c r="E7" s="79"/>
      <c r="F7" s="78"/>
      <c r="G7" s="78"/>
      <c r="H7" s="78"/>
      <c r="I7" s="78"/>
      <c r="J7" s="78"/>
      <c r="K7" s="78"/>
      <c r="L7" s="78"/>
    </row>
    <row r="8" spans="2:12" ht="14.25">
      <c r="B8" s="31"/>
      <c r="C8"/>
      <c r="D8"/>
      <c r="E8"/>
      <c r="F8"/>
      <c r="G8"/>
      <c r="H8"/>
      <c r="I8"/>
      <c r="J8"/>
      <c r="K8"/>
      <c r="L8"/>
    </row>
    <row r="9" spans="2:12" ht="24.75" customHeight="1">
      <c r="B9" s="23" t="s">
        <v>112</v>
      </c>
      <c r="C9" s="22"/>
      <c r="D9" s="41">
        <v>10000</v>
      </c>
      <c r="E9" s="24" t="s">
        <v>86</v>
      </c>
      <c r="F9" s="21"/>
      <c r="H9"/>
      <c r="I9"/>
      <c r="J9"/>
      <c r="K9"/>
      <c r="L9"/>
    </row>
    <row r="10" spans="2:12" ht="24.75" customHeight="1">
      <c r="B10" s="25" t="s">
        <v>113</v>
      </c>
      <c r="C10" s="26"/>
      <c r="D10" s="37">
        <v>8</v>
      </c>
      <c r="E10" s="29" t="s">
        <v>115</v>
      </c>
      <c r="F10" s="28">
        <f>D10/100</f>
        <v>0.08</v>
      </c>
      <c r="G10" s="3"/>
      <c r="H10" s="25"/>
      <c r="I10" s="27"/>
      <c r="J10" s="27"/>
      <c r="K10"/>
      <c r="L10"/>
    </row>
    <row r="11" spans="2:12" ht="12.75">
      <c r="B11"/>
      <c r="C11"/>
      <c r="D11"/>
      <c r="E11"/>
      <c r="F11"/>
      <c r="G11"/>
      <c r="H11"/>
      <c r="I11"/>
      <c r="J11"/>
      <c r="K11"/>
      <c r="L11"/>
    </row>
    <row r="12" spans="2:12" ht="15">
      <c r="B12" s="324" t="s">
        <v>5</v>
      </c>
      <c r="C12" s="324"/>
      <c r="D12" s="71">
        <v>0</v>
      </c>
      <c r="E12" s="71">
        <v>1</v>
      </c>
      <c r="F12" s="71">
        <v>2</v>
      </c>
      <c r="G12" s="71">
        <v>3</v>
      </c>
      <c r="H12" s="71">
        <v>4</v>
      </c>
      <c r="I12" s="71">
        <v>5</v>
      </c>
      <c r="K12"/>
      <c r="L12"/>
    </row>
    <row r="13" spans="2:12" ht="15">
      <c r="B13" s="328" t="s">
        <v>110</v>
      </c>
      <c r="C13" s="329"/>
      <c r="D13" s="42">
        <f>D9</f>
        <v>10000</v>
      </c>
      <c r="E13" s="42">
        <f>D13*(1+F10)</f>
        <v>10800</v>
      </c>
      <c r="F13" s="42">
        <f>2*(E13-D13)+D13</f>
        <v>11600</v>
      </c>
      <c r="G13" s="42">
        <f>3*(E13-D13)+D13</f>
        <v>12400</v>
      </c>
      <c r="H13" s="42">
        <f>4*(E13-D13)+D13</f>
        <v>13200</v>
      </c>
      <c r="I13" s="42">
        <f>5*(E13-D13)+D13</f>
        <v>14000</v>
      </c>
      <c r="K13"/>
      <c r="L13"/>
    </row>
    <row r="14" spans="2:12" ht="15">
      <c r="B14" s="328" t="s">
        <v>111</v>
      </c>
      <c r="C14" s="329"/>
      <c r="D14" s="39">
        <f>D9</f>
        <v>10000</v>
      </c>
      <c r="E14" s="39">
        <f>D14*(1+F10)</f>
        <v>10800</v>
      </c>
      <c r="F14" s="39">
        <f>E14*(1+F10)</f>
        <v>11664</v>
      </c>
      <c r="G14" s="39">
        <f>F14*(1+F10)</f>
        <v>12597.12</v>
      </c>
      <c r="H14" s="39">
        <f>G14*(1+F10)</f>
        <v>13604.889600000002</v>
      </c>
      <c r="I14" s="39">
        <f>H14*(1+F10)</f>
        <v>14693.280768000004</v>
      </c>
      <c r="K14"/>
      <c r="L14"/>
    </row>
    <row r="15" spans="2:12" ht="30" customHeight="1" thickBot="1">
      <c r="B15" s="57"/>
      <c r="C15" s="57"/>
      <c r="D15" s="58"/>
      <c r="E15" s="58"/>
      <c r="F15" s="58"/>
      <c r="G15" s="58"/>
      <c r="H15" s="58"/>
      <c r="I15" s="58"/>
      <c r="J15" s="59"/>
      <c r="K15" s="60"/>
      <c r="L15"/>
    </row>
    <row r="16" ht="30" customHeight="1" thickTop="1"/>
    <row r="17" ht="15.75">
      <c r="B17" s="44" t="s">
        <v>3</v>
      </c>
    </row>
    <row r="18" spans="2:10" ht="15">
      <c r="B18" s="76" t="s">
        <v>131</v>
      </c>
      <c r="C18" s="40"/>
      <c r="D18" s="40"/>
      <c r="E18" s="40"/>
      <c r="F18" s="40"/>
      <c r="G18" s="40"/>
      <c r="H18" s="40"/>
      <c r="I18" s="40"/>
      <c r="J18" s="40"/>
    </row>
    <row r="19" spans="2:10" ht="15">
      <c r="B19" s="325" t="s">
        <v>116</v>
      </c>
      <c r="C19" s="325"/>
      <c r="D19" s="325"/>
      <c r="E19" s="325"/>
      <c r="F19" s="325"/>
      <c r="G19" s="325"/>
      <c r="H19" s="325"/>
      <c r="I19" s="325"/>
      <c r="J19" s="325"/>
    </row>
    <row r="20" ht="12.75">
      <c r="B20" s="2"/>
    </row>
    <row r="21" spans="2:10" ht="24.75" customHeight="1">
      <c r="B21" s="80" t="s">
        <v>2</v>
      </c>
      <c r="C21" s="81">
        <v>12</v>
      </c>
      <c r="D21" s="82" t="s">
        <v>119</v>
      </c>
      <c r="E21" s="83">
        <f>C21/100</f>
        <v>0.12</v>
      </c>
      <c r="F21" s="84" t="s">
        <v>4</v>
      </c>
      <c r="G21" s="81">
        <v>5</v>
      </c>
      <c r="H21" s="85" t="s">
        <v>117</v>
      </c>
      <c r="J21" s="11"/>
    </row>
    <row r="22" spans="2:10" ht="24.75" customHeight="1">
      <c r="B22" s="86" t="s">
        <v>118</v>
      </c>
      <c r="C22" s="87">
        <v>1320</v>
      </c>
      <c r="D22" s="88" t="s">
        <v>86</v>
      </c>
      <c r="E22" s="88"/>
      <c r="F22" s="89"/>
      <c r="G22" s="90"/>
      <c r="H22" s="89"/>
      <c r="I22" s="46"/>
      <c r="J22" s="3"/>
    </row>
    <row r="23" ht="12.75">
      <c r="D23" s="5"/>
    </row>
    <row r="24" spans="2:9" ht="14.25">
      <c r="B24" s="326" t="s">
        <v>5</v>
      </c>
      <c r="C24" s="326"/>
      <c r="D24" s="72">
        <v>0</v>
      </c>
      <c r="E24" s="72">
        <v>1</v>
      </c>
      <c r="F24" s="72">
        <v>2</v>
      </c>
      <c r="G24" s="72">
        <v>3</v>
      </c>
      <c r="H24" s="72">
        <v>4</v>
      </c>
      <c r="I24" s="72">
        <v>5</v>
      </c>
    </row>
    <row r="25" spans="2:9" ht="15">
      <c r="B25" s="327" t="s">
        <v>130</v>
      </c>
      <c r="C25" s="327"/>
      <c r="D25" s="73">
        <f>1/(1+$E$21)^I24</f>
        <v>0.5674268557185992</v>
      </c>
      <c r="E25" s="73">
        <f>1/(1+$E$21)^H24</f>
        <v>0.6355180784048312</v>
      </c>
      <c r="F25" s="73">
        <f>1/(1+$E$21)^G24</f>
        <v>0.7117802478134109</v>
      </c>
      <c r="G25" s="73">
        <f>1/(1+$E$21)^F24</f>
        <v>0.7971938775510203</v>
      </c>
      <c r="H25" s="73">
        <f>1/(1+$E$21)^E24</f>
        <v>0.8928571428571428</v>
      </c>
      <c r="I25" s="73">
        <f>1/(1+$E$21)^M24</f>
        <v>1</v>
      </c>
    </row>
    <row r="26" spans="2:9" ht="15">
      <c r="B26" s="36" t="s">
        <v>110</v>
      </c>
      <c r="C26" s="36"/>
      <c r="D26" s="74">
        <f>C22/(E21*G21+1)</f>
        <v>825</v>
      </c>
      <c r="E26" s="74">
        <f>$D$26*$E$21+D26</f>
        <v>924</v>
      </c>
      <c r="F26" s="74">
        <f>$D$26*$E$21+E26</f>
        <v>1023</v>
      </c>
      <c r="G26" s="74">
        <f>$D$26*$E$21+F26</f>
        <v>1122</v>
      </c>
      <c r="H26" s="74">
        <f>$D$26*$E$21+G26</f>
        <v>1221</v>
      </c>
      <c r="I26" s="75">
        <f>C22</f>
        <v>1320</v>
      </c>
    </row>
    <row r="27" spans="2:9" ht="15">
      <c r="B27" s="36" t="s">
        <v>111</v>
      </c>
      <c r="C27" s="36"/>
      <c r="D27" s="74">
        <f>D25*I27</f>
        <v>749.003449548551</v>
      </c>
      <c r="E27" s="74">
        <f>E25*I27</f>
        <v>838.8838634943772</v>
      </c>
      <c r="F27" s="74">
        <f>F25*I27</f>
        <v>939.5499271137023</v>
      </c>
      <c r="G27" s="74">
        <f>G25*I27</f>
        <v>1052.2959183673468</v>
      </c>
      <c r="H27" s="74">
        <f>H25*I27</f>
        <v>1178.5714285714284</v>
      </c>
      <c r="I27" s="75">
        <f>C22</f>
        <v>1320</v>
      </c>
    </row>
    <row r="29" spans="3:8" ht="15">
      <c r="C29" s="49" t="s">
        <v>6</v>
      </c>
      <c r="D29" s="50">
        <f>(1+E21)^G21</f>
        <v>1.7623416832000005</v>
      </c>
      <c r="E29" s="40"/>
      <c r="F29" s="40"/>
      <c r="G29" s="40"/>
      <c r="H29" s="40"/>
    </row>
    <row r="30" spans="3:8" ht="8.25" customHeight="1">
      <c r="C30" s="49"/>
      <c r="D30" s="50"/>
      <c r="E30" s="40"/>
      <c r="F30" s="40"/>
      <c r="G30" s="40"/>
      <c r="H30" s="40"/>
    </row>
    <row r="31" spans="3:8" ht="15">
      <c r="C31" s="106" t="s">
        <v>120</v>
      </c>
      <c r="D31" s="109">
        <f>D29</f>
        <v>1.7623416832000005</v>
      </c>
      <c r="E31" s="110" t="s">
        <v>7</v>
      </c>
      <c r="F31" s="110">
        <f>D27</f>
        <v>749.003449548551</v>
      </c>
      <c r="G31" s="110" t="s">
        <v>8</v>
      </c>
      <c r="H31" s="110">
        <f>D29*F31</f>
        <v>1320</v>
      </c>
    </row>
    <row r="32" spans="2:11" ht="30" customHeight="1" thickBot="1">
      <c r="B32" s="59"/>
      <c r="C32" s="61"/>
      <c r="D32" s="62"/>
      <c r="E32" s="63"/>
      <c r="F32" s="63"/>
      <c r="G32" s="63"/>
      <c r="H32" s="63"/>
      <c r="I32" s="59"/>
      <c r="J32" s="59"/>
      <c r="K32" s="59"/>
    </row>
    <row r="33" ht="30" customHeight="1" thickTop="1">
      <c r="F33" s="6"/>
    </row>
    <row r="34" ht="15.75">
      <c r="B34" s="44" t="s">
        <v>9</v>
      </c>
    </row>
    <row r="35" ht="15">
      <c r="B35" s="51" t="s">
        <v>122</v>
      </c>
    </row>
    <row r="36" ht="15">
      <c r="B36" s="40" t="s">
        <v>121</v>
      </c>
    </row>
    <row r="38" spans="2:7" s="48" customFormat="1" ht="24.75" customHeight="1">
      <c r="B38" s="83" t="s">
        <v>123</v>
      </c>
      <c r="C38" s="91"/>
      <c r="D38" s="92">
        <v>320</v>
      </c>
      <c r="E38" s="91" t="s">
        <v>124</v>
      </c>
      <c r="F38" s="93">
        <f>D38*1000</f>
        <v>320000</v>
      </c>
      <c r="G38" s="91" t="s">
        <v>86</v>
      </c>
    </row>
    <row r="39" spans="1:7" s="48" customFormat="1" ht="24.75" customHeight="1">
      <c r="A39" s="53"/>
      <c r="B39" s="92" t="s">
        <v>125</v>
      </c>
      <c r="C39" s="91"/>
      <c r="D39" s="83">
        <v>690.856</v>
      </c>
      <c r="E39" s="94" t="s">
        <v>124</v>
      </c>
      <c r="F39" s="94">
        <f>D39*1000</f>
        <v>690856</v>
      </c>
      <c r="G39" s="94" t="s">
        <v>86</v>
      </c>
    </row>
    <row r="40" spans="2:10" s="48" customFormat="1" ht="24.75" customHeight="1">
      <c r="B40" s="96" t="s">
        <v>126</v>
      </c>
      <c r="C40" s="95"/>
      <c r="D40" s="96">
        <v>5</v>
      </c>
      <c r="E40" s="95"/>
      <c r="F40" s="90"/>
      <c r="G40" s="90"/>
      <c r="H40" s="52"/>
      <c r="I40" s="52"/>
      <c r="J40" s="52"/>
    </row>
    <row r="42" spans="3:5" ht="15">
      <c r="C42" s="49" t="s">
        <v>10</v>
      </c>
      <c r="D42" s="40">
        <f>(F39/(D38*1000))</f>
        <v>2.158925</v>
      </c>
      <c r="E42" s="40"/>
    </row>
    <row r="43" spans="3:5" ht="15">
      <c r="C43" s="49" t="s">
        <v>11</v>
      </c>
      <c r="D43" s="107">
        <f>D42^(1/D40)</f>
        <v>1.1664000002946857</v>
      </c>
      <c r="E43" s="40"/>
    </row>
    <row r="44" spans="3:5" ht="15">
      <c r="C44" s="49" t="s">
        <v>12</v>
      </c>
      <c r="D44" s="108">
        <f>(D43-1)*100</f>
        <v>16.64000002946857</v>
      </c>
      <c r="E44" s="40" t="s">
        <v>13</v>
      </c>
    </row>
    <row r="45" spans="2:11" ht="30" customHeight="1" thickBot="1">
      <c r="B45" s="59"/>
      <c r="C45" s="64"/>
      <c r="D45" s="65"/>
      <c r="E45" s="66"/>
      <c r="F45" s="59"/>
      <c r="G45" s="59"/>
      <c r="H45" s="59"/>
      <c r="I45" s="59"/>
      <c r="J45" s="59"/>
      <c r="K45" s="59"/>
    </row>
    <row r="46" ht="30" customHeight="1" thickTop="1"/>
    <row r="47" ht="15.75">
      <c r="B47" s="44" t="s">
        <v>14</v>
      </c>
    </row>
    <row r="48" ht="15">
      <c r="B48" s="51" t="s">
        <v>138</v>
      </c>
    </row>
    <row r="49" ht="15">
      <c r="B49" s="40" t="s">
        <v>127</v>
      </c>
    </row>
    <row r="50" ht="12.75">
      <c r="B50" s="2"/>
    </row>
    <row r="51" spans="3:8" ht="24.75" customHeight="1">
      <c r="C51" s="100" t="s">
        <v>128</v>
      </c>
      <c r="D51" s="94">
        <v>500</v>
      </c>
      <c r="E51" s="111"/>
      <c r="F51" s="112" t="s">
        <v>2</v>
      </c>
      <c r="G51" s="112">
        <v>10</v>
      </c>
      <c r="H51" s="91" t="s">
        <v>13</v>
      </c>
    </row>
    <row r="52" spans="2:10" ht="24.75" customHeight="1">
      <c r="B52" s="3"/>
      <c r="C52" s="86" t="s">
        <v>15</v>
      </c>
      <c r="D52" s="90">
        <v>5</v>
      </c>
      <c r="E52" s="90"/>
      <c r="F52" s="90"/>
      <c r="G52" s="90"/>
      <c r="H52" s="98"/>
      <c r="I52" s="3"/>
      <c r="J52" s="3"/>
    </row>
    <row r="54" spans="3:5" ht="15">
      <c r="C54" s="49" t="s">
        <v>16</v>
      </c>
      <c r="D54" s="40">
        <f>((1+(G51/100))^D52-1)/0.1</f>
        <v>6.1051000000000055</v>
      </c>
      <c r="E54" s="40"/>
    </row>
    <row r="55" spans="3:5" ht="15">
      <c r="C55" s="49" t="s">
        <v>17</v>
      </c>
      <c r="D55" s="105">
        <f>12*D51</f>
        <v>6000</v>
      </c>
      <c r="E55" s="40" t="s">
        <v>86</v>
      </c>
    </row>
    <row r="56" spans="3:5" ht="15">
      <c r="C56" s="49" t="s">
        <v>18</v>
      </c>
      <c r="D56" s="105">
        <f>D54*D55</f>
        <v>36630.600000000035</v>
      </c>
      <c r="E56" s="40" t="s">
        <v>86</v>
      </c>
    </row>
    <row r="57" spans="3:5" ht="15">
      <c r="C57" s="49"/>
      <c r="D57" s="40"/>
      <c r="E57" s="40"/>
    </row>
    <row r="58" spans="2:5" ht="15">
      <c r="B58" s="55" t="s">
        <v>19</v>
      </c>
      <c r="C58" s="49" t="s">
        <v>20</v>
      </c>
      <c r="D58" s="107">
        <f>1/D54</f>
        <v>0.16379748079474524</v>
      </c>
      <c r="E58" s="40"/>
    </row>
    <row r="59" spans="2:5" ht="15">
      <c r="B59" s="56"/>
      <c r="C59" s="49" t="s">
        <v>17</v>
      </c>
      <c r="D59" s="105">
        <f>D56*D58</f>
        <v>6000.000000000001</v>
      </c>
      <c r="E59" s="40" t="s">
        <v>86</v>
      </c>
    </row>
    <row r="60" spans="2:11" ht="30" customHeight="1" thickBot="1">
      <c r="B60" s="67"/>
      <c r="C60" s="64"/>
      <c r="D60" s="68"/>
      <c r="E60" s="69"/>
      <c r="F60" s="59"/>
      <c r="G60" s="59"/>
      <c r="H60" s="59"/>
      <c r="I60" s="59"/>
      <c r="J60" s="59"/>
      <c r="K60" s="59"/>
    </row>
    <row r="61" ht="30" customHeight="1" thickTop="1"/>
    <row r="62" ht="15.75">
      <c r="B62" s="44" t="s">
        <v>21</v>
      </c>
    </row>
    <row r="63" ht="15">
      <c r="B63" s="51" t="s">
        <v>133</v>
      </c>
    </row>
    <row r="64" ht="15">
      <c r="B64" s="40" t="s">
        <v>137</v>
      </c>
    </row>
    <row r="65" ht="12.75">
      <c r="B65" s="2"/>
    </row>
    <row r="66" spans="3:7" s="82" customFormat="1" ht="24.75" customHeight="1">
      <c r="C66" s="100" t="s">
        <v>134</v>
      </c>
      <c r="D66" s="103">
        <v>285</v>
      </c>
      <c r="E66" s="101" t="s">
        <v>136</v>
      </c>
      <c r="F66" s="102">
        <f>D66*1000</f>
        <v>285000</v>
      </c>
      <c r="G66" s="83" t="s">
        <v>86</v>
      </c>
    </row>
    <row r="67" spans="3:7" s="82" customFormat="1" ht="24.75" customHeight="1">
      <c r="C67" s="100" t="s">
        <v>135</v>
      </c>
      <c r="D67" s="103">
        <v>30</v>
      </c>
      <c r="E67" s="101" t="s">
        <v>136</v>
      </c>
      <c r="F67" s="102">
        <f>D67*1000</f>
        <v>30000</v>
      </c>
      <c r="G67" s="83" t="s">
        <v>86</v>
      </c>
    </row>
    <row r="68" spans="3:5" s="82" customFormat="1" ht="24.75" customHeight="1">
      <c r="C68" s="100" t="s">
        <v>2</v>
      </c>
      <c r="D68" s="264">
        <v>10</v>
      </c>
      <c r="E68" s="83" t="s">
        <v>13</v>
      </c>
    </row>
    <row r="69" spans="2:11" s="82" customFormat="1" ht="24.75" customHeight="1">
      <c r="B69" s="99"/>
      <c r="C69" s="86" t="s">
        <v>211</v>
      </c>
      <c r="D69" s="99" t="s">
        <v>212</v>
      </c>
      <c r="E69" s="99"/>
      <c r="F69" s="99"/>
      <c r="G69" s="99"/>
      <c r="H69" s="99"/>
      <c r="I69" s="99"/>
      <c r="J69" s="265"/>
      <c r="K69" s="265"/>
    </row>
    <row r="71" s="40" customFormat="1" ht="15" hidden="1">
      <c r="D71" s="40">
        <f>LOG10(((D66*(D68/100))/D67)+1)</f>
        <v>0.290034611362518</v>
      </c>
    </row>
    <row r="72" s="40" customFormat="1" ht="15" hidden="1">
      <c r="D72" s="40">
        <f>LOG10(1+(D68/100))</f>
        <v>0.04139268515822508</v>
      </c>
    </row>
    <row r="73" spans="3:5" s="40" customFormat="1" ht="15">
      <c r="C73" s="49" t="s">
        <v>4</v>
      </c>
      <c r="D73" s="104">
        <f>D71/D72</f>
        <v>7.006904970137838</v>
      </c>
      <c r="E73" s="40" t="s">
        <v>25</v>
      </c>
    </row>
    <row r="74" spans="2:11" ht="30" customHeight="1" thickBot="1"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ht="30" customHeight="1" thickTop="1"/>
    <row r="76" ht="15.75">
      <c r="B76" s="44" t="s">
        <v>22</v>
      </c>
    </row>
    <row r="77" ht="15">
      <c r="B77" s="51" t="s">
        <v>139</v>
      </c>
    </row>
    <row r="78" ht="15">
      <c r="B78" s="40" t="s">
        <v>143</v>
      </c>
    </row>
    <row r="79" ht="15.75">
      <c r="B79" s="44"/>
    </row>
    <row r="80" spans="3:8" ht="24.75" customHeight="1">
      <c r="C80" s="100" t="s">
        <v>23</v>
      </c>
      <c r="D80" s="111">
        <v>100</v>
      </c>
      <c r="E80" s="111" t="s">
        <v>140</v>
      </c>
      <c r="F80" s="92">
        <f>D80*1000</f>
        <v>100000</v>
      </c>
      <c r="G80" s="48"/>
      <c r="H80" s="48"/>
    </row>
    <row r="81" spans="3:6" ht="24.75" customHeight="1">
      <c r="C81" s="100" t="s">
        <v>24</v>
      </c>
      <c r="D81" s="112">
        <v>5</v>
      </c>
      <c r="E81" s="111" t="s">
        <v>25</v>
      </c>
      <c r="F81" s="4"/>
    </row>
    <row r="82" spans="2:11" ht="24.75" customHeight="1">
      <c r="B82" s="3"/>
      <c r="C82" s="86" t="s">
        <v>2</v>
      </c>
      <c r="D82" s="89">
        <v>10</v>
      </c>
      <c r="E82" s="90" t="s">
        <v>141</v>
      </c>
      <c r="F82" s="96">
        <f>D82/100</f>
        <v>0.1</v>
      </c>
      <c r="G82" s="3"/>
      <c r="H82" s="3"/>
      <c r="I82" s="3"/>
      <c r="J82" s="11"/>
      <c r="K82" s="11"/>
    </row>
    <row r="84" spans="3:9" ht="15">
      <c r="C84" s="49" t="s">
        <v>142</v>
      </c>
      <c r="D84" s="40">
        <f>((1+(D82/100))^D81*(D82/100))/((1+(D82/100))^D81-1)</f>
        <v>0.26379748079474524</v>
      </c>
      <c r="I84" s="51"/>
    </row>
    <row r="85" spans="3:9" ht="15">
      <c r="C85" s="49" t="s">
        <v>144</v>
      </c>
      <c r="D85" s="113">
        <f>F80*D84</f>
        <v>26379.748079474524</v>
      </c>
      <c r="E85" s="40" t="s">
        <v>86</v>
      </c>
      <c r="I85" s="40"/>
    </row>
    <row r="86" spans="3:9" ht="15">
      <c r="C86" s="49" t="s">
        <v>145</v>
      </c>
      <c r="D86" s="113">
        <f>D81*D85-F80</f>
        <v>31898.740397372632</v>
      </c>
      <c r="E86" s="40" t="s">
        <v>86</v>
      </c>
      <c r="I86" s="40"/>
    </row>
    <row r="87" spans="2:11" ht="30" customHeight="1" thickBot="1"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ht="30" customHeight="1" thickTop="1"/>
    <row r="89" ht="15.75">
      <c r="B89" s="44" t="s">
        <v>28</v>
      </c>
    </row>
    <row r="90" ht="15">
      <c r="B90" s="51" t="s">
        <v>153</v>
      </c>
    </row>
    <row r="91" ht="15">
      <c r="B91" s="51"/>
    </row>
    <row r="92" ht="14.25">
      <c r="B92" s="30" t="s">
        <v>154</v>
      </c>
    </row>
    <row r="93" ht="14.25">
      <c r="B93" s="30" t="s">
        <v>146</v>
      </c>
    </row>
    <row r="94" ht="14.25">
      <c r="B94" s="30" t="s">
        <v>155</v>
      </c>
    </row>
    <row r="95" ht="14.25">
      <c r="B95" s="30" t="s">
        <v>147</v>
      </c>
    </row>
    <row r="96" ht="14.25">
      <c r="B96" s="30"/>
    </row>
    <row r="97" spans="2:8" ht="24.75" customHeight="1">
      <c r="B97" s="115" t="s">
        <v>23</v>
      </c>
      <c r="C97" s="117">
        <v>300</v>
      </c>
      <c r="D97" s="118" t="s">
        <v>148</v>
      </c>
      <c r="E97" s="122">
        <f>C97*1000</f>
        <v>300000</v>
      </c>
      <c r="F97" s="78" t="s">
        <v>86</v>
      </c>
      <c r="G97"/>
      <c r="H97"/>
    </row>
    <row r="98" spans="2:8" ht="24.75" customHeight="1">
      <c r="B98" s="120" t="s">
        <v>2</v>
      </c>
      <c r="C98" s="79">
        <v>10</v>
      </c>
      <c r="D98" s="119" t="s">
        <v>149</v>
      </c>
      <c r="E98" s="123">
        <f>C98/100</f>
        <v>0.1</v>
      </c>
      <c r="F98" s="78"/>
      <c r="G98"/>
      <c r="H98"/>
    </row>
    <row r="99" spans="2:11" s="48" customFormat="1" ht="24.75" customHeight="1">
      <c r="B99" s="52"/>
      <c r="C99" s="52"/>
      <c r="D99" s="29" t="s">
        <v>29</v>
      </c>
      <c r="E99" s="125">
        <v>3</v>
      </c>
      <c r="F99" s="126" t="s">
        <v>30</v>
      </c>
      <c r="G99" s="127"/>
      <c r="H99" s="127"/>
      <c r="I99" s="52"/>
      <c r="J99" s="52"/>
      <c r="K99" s="52"/>
    </row>
    <row r="100" spans="2:8" ht="12.75">
      <c r="B100"/>
      <c r="C100"/>
      <c r="D100"/>
      <c r="E100"/>
      <c r="F100"/>
      <c r="G100"/>
      <c r="H100"/>
    </row>
    <row r="101" spans="2:8" ht="18" customHeight="1">
      <c r="B101" s="135" t="s">
        <v>31</v>
      </c>
      <c r="C101" s="129" t="s">
        <v>5</v>
      </c>
      <c r="D101" s="129" t="s">
        <v>33</v>
      </c>
      <c r="E101" s="129" t="s">
        <v>34</v>
      </c>
      <c r="F101" s="129" t="s">
        <v>35</v>
      </c>
      <c r="G101" s="330" t="s">
        <v>36</v>
      </c>
      <c r="H101" s="331"/>
    </row>
    <row r="102" spans="2:8" ht="15" customHeight="1">
      <c r="B102" s="78"/>
      <c r="C102" s="35">
        <v>1</v>
      </c>
      <c r="D102" s="130">
        <f>E97</f>
        <v>300000</v>
      </c>
      <c r="E102" s="130">
        <f>E97*E98</f>
        <v>30000</v>
      </c>
      <c r="F102" s="130">
        <f>E97/E99</f>
        <v>100000</v>
      </c>
      <c r="G102" s="320">
        <f>D102-F102</f>
        <v>200000</v>
      </c>
      <c r="H102" s="321"/>
    </row>
    <row r="103" spans="2:8" ht="15" customHeight="1">
      <c r="B103" s="78"/>
      <c r="C103" s="35">
        <v>2</v>
      </c>
      <c r="D103" s="130">
        <f>G102</f>
        <v>200000</v>
      </c>
      <c r="E103" s="130">
        <f>E97*E98</f>
        <v>30000</v>
      </c>
      <c r="F103" s="130">
        <f>E97/E99</f>
        <v>100000</v>
      </c>
      <c r="G103" s="320">
        <f>D103-F103</f>
        <v>100000</v>
      </c>
      <c r="H103" s="321"/>
    </row>
    <row r="104" spans="2:8" ht="15" customHeight="1">
      <c r="B104" s="78"/>
      <c r="C104" s="35">
        <v>3</v>
      </c>
      <c r="D104" s="130">
        <f>G103</f>
        <v>100000</v>
      </c>
      <c r="E104" s="130">
        <f>E97*E98</f>
        <v>30000</v>
      </c>
      <c r="F104" s="130">
        <f>E97/E99</f>
        <v>100000</v>
      </c>
      <c r="G104" s="320">
        <f>D104-F104</f>
        <v>0</v>
      </c>
      <c r="H104" s="321"/>
    </row>
    <row r="105" spans="2:8" ht="19.5" customHeight="1">
      <c r="B105" s="78"/>
      <c r="C105" s="34"/>
      <c r="D105" s="131" t="s">
        <v>37</v>
      </c>
      <c r="E105" s="132">
        <f>E102+E103+E104</f>
        <v>90000</v>
      </c>
      <c r="F105" s="33"/>
      <c r="G105" s="33"/>
      <c r="H105" s="21"/>
    </row>
    <row r="106" spans="2:8" ht="15">
      <c r="B106" s="78"/>
      <c r="C106" s="34"/>
      <c r="D106" s="133"/>
      <c r="E106" s="134"/>
      <c r="F106" s="33"/>
      <c r="G106" s="33"/>
      <c r="H106" s="21"/>
    </row>
    <row r="107" spans="2:8" ht="15">
      <c r="B107" s="78"/>
      <c r="C107" s="34"/>
      <c r="D107" s="21"/>
      <c r="E107" s="21"/>
      <c r="F107" s="21"/>
      <c r="G107" s="21"/>
      <c r="H107" s="21"/>
    </row>
    <row r="108" spans="2:8" ht="19.5" customHeight="1">
      <c r="B108" s="135" t="s">
        <v>38</v>
      </c>
      <c r="C108" s="129" t="s">
        <v>5</v>
      </c>
      <c r="D108" s="129" t="s">
        <v>33</v>
      </c>
      <c r="E108" s="129" t="s">
        <v>34</v>
      </c>
      <c r="F108" s="129" t="s">
        <v>35</v>
      </c>
      <c r="G108" s="322" t="s">
        <v>36</v>
      </c>
      <c r="H108" s="322"/>
    </row>
    <row r="109" spans="2:8" ht="15" customHeight="1">
      <c r="B109" s="78"/>
      <c r="C109" s="35">
        <v>1</v>
      </c>
      <c r="D109" s="130">
        <f>E97</f>
        <v>300000</v>
      </c>
      <c r="E109" s="130">
        <f>D109*E98</f>
        <v>30000</v>
      </c>
      <c r="F109" s="130">
        <f>E97/E99</f>
        <v>100000</v>
      </c>
      <c r="G109" s="318">
        <f>D109-F109</f>
        <v>200000</v>
      </c>
      <c r="H109" s="318"/>
    </row>
    <row r="110" spans="2:8" ht="15" customHeight="1">
      <c r="B110" s="78"/>
      <c r="C110" s="35">
        <v>2</v>
      </c>
      <c r="D110" s="130">
        <f>G109</f>
        <v>200000</v>
      </c>
      <c r="E110" s="130">
        <f>D110*E98</f>
        <v>20000</v>
      </c>
      <c r="F110" s="130">
        <f>E97/E99</f>
        <v>100000</v>
      </c>
      <c r="G110" s="318">
        <f>D110-F110</f>
        <v>100000</v>
      </c>
      <c r="H110" s="318"/>
    </row>
    <row r="111" spans="2:8" ht="15" customHeight="1">
      <c r="B111" s="78"/>
      <c r="C111" s="35">
        <v>3</v>
      </c>
      <c r="D111" s="130">
        <f>G110</f>
        <v>100000</v>
      </c>
      <c r="E111" s="130">
        <f>D111*E98</f>
        <v>10000</v>
      </c>
      <c r="F111" s="130">
        <f>E97/E99</f>
        <v>100000</v>
      </c>
      <c r="G111" s="318">
        <f>D111-F111</f>
        <v>0</v>
      </c>
      <c r="H111" s="318"/>
    </row>
    <row r="112" spans="2:8" ht="19.5" customHeight="1">
      <c r="B112" s="78"/>
      <c r="C112" s="21"/>
      <c r="D112" s="131" t="s">
        <v>37</v>
      </c>
      <c r="E112" s="132">
        <f>E109+E110+E111</f>
        <v>60000</v>
      </c>
      <c r="F112" s="33"/>
      <c r="G112" s="33"/>
      <c r="H112" s="21"/>
    </row>
    <row r="113" spans="2:8" ht="15">
      <c r="B113" s="78"/>
      <c r="C113"/>
      <c r="D113" s="124"/>
      <c r="E113" s="128"/>
      <c r="F113" s="18"/>
      <c r="G113" s="18"/>
      <c r="H113"/>
    </row>
    <row r="114" spans="2:8" ht="15">
      <c r="B114" s="78"/>
      <c r="C114"/>
      <c r="D114"/>
      <c r="E114"/>
      <c r="F114"/>
      <c r="G114"/>
      <c r="H114"/>
    </row>
    <row r="115" spans="2:8" ht="15">
      <c r="B115" s="135" t="s">
        <v>39</v>
      </c>
      <c r="C115" s="144" t="s">
        <v>40</v>
      </c>
      <c r="D115" s="147">
        <f>E97</f>
        <v>300000</v>
      </c>
      <c r="E115" s="148" t="s">
        <v>150</v>
      </c>
      <c r="F115" s="149">
        <f>E98</f>
        <v>0.1</v>
      </c>
      <c r="G115" s="3"/>
      <c r="H115" s="3"/>
    </row>
    <row r="116" spans="2:8" ht="15">
      <c r="B116" s="78"/>
      <c r="E116" s="11"/>
      <c r="F116" s="11"/>
      <c r="G116" s="38"/>
      <c r="H116" s="38"/>
    </row>
    <row r="117" spans="2:8" ht="15">
      <c r="B117" s="78"/>
      <c r="C117" s="121" t="s">
        <v>41</v>
      </c>
      <c r="D117" s="142">
        <f>((1+E98)^E99*E98)/((1+E98)^E99-1)</f>
        <v>0.4021148036253773</v>
      </c>
      <c r="E117" s="143"/>
      <c r="F117" s="143"/>
      <c r="G117" s="38"/>
      <c r="H117" s="38"/>
    </row>
    <row r="118" spans="2:8" ht="15">
      <c r="B118" s="78"/>
      <c r="C118" s="145" t="s">
        <v>27</v>
      </c>
      <c r="D118" s="146">
        <f>D115*D117</f>
        <v>120634.4410876132</v>
      </c>
      <c r="E118" s="143"/>
      <c r="F118" s="143"/>
      <c r="G118" s="38"/>
      <c r="H118" s="38"/>
    </row>
    <row r="119" spans="2:8" ht="15">
      <c r="B119" s="78"/>
      <c r="E119"/>
      <c r="F119"/>
      <c r="G119"/>
      <c r="H119"/>
    </row>
    <row r="120" spans="2:8" ht="20.25" customHeight="1">
      <c r="B120" s="78"/>
      <c r="C120" s="129" t="s">
        <v>32</v>
      </c>
      <c r="D120" s="129" t="s">
        <v>33</v>
      </c>
      <c r="E120" s="129" t="s">
        <v>42</v>
      </c>
      <c r="F120" s="129" t="s">
        <v>34</v>
      </c>
      <c r="G120" s="129" t="s">
        <v>35</v>
      </c>
      <c r="H120" s="152" t="s">
        <v>36</v>
      </c>
    </row>
    <row r="121" spans="2:8" ht="15">
      <c r="B121" s="78"/>
      <c r="C121" s="35">
        <v>1</v>
      </c>
      <c r="D121" s="151">
        <f>D115</f>
        <v>300000</v>
      </c>
      <c r="E121" s="151">
        <f>D118</f>
        <v>120634.4410876132</v>
      </c>
      <c r="F121" s="151">
        <f>D121*F115</f>
        <v>30000</v>
      </c>
      <c r="G121" s="151">
        <f>D118-F121</f>
        <v>90634.4410876132</v>
      </c>
      <c r="H121" s="151">
        <f>D121-G121</f>
        <v>209365.5589123868</v>
      </c>
    </row>
    <row r="122" spans="2:8" ht="15">
      <c r="B122" s="78"/>
      <c r="C122" s="35">
        <v>2</v>
      </c>
      <c r="D122" s="151">
        <f>H121</f>
        <v>209365.5589123868</v>
      </c>
      <c r="E122" s="151">
        <f>D118</f>
        <v>120634.4410876132</v>
      </c>
      <c r="F122" s="151">
        <f>D122*F115</f>
        <v>20936.55589123868</v>
      </c>
      <c r="G122" s="151">
        <f>D118-F122</f>
        <v>99697.88519637453</v>
      </c>
      <c r="H122" s="151">
        <f>D122-G122</f>
        <v>109667.67371601227</v>
      </c>
    </row>
    <row r="123" spans="2:8" ht="15">
      <c r="B123" s="78"/>
      <c r="C123" s="35">
        <v>3</v>
      </c>
      <c r="D123" s="151">
        <f>H122</f>
        <v>109667.67371601227</v>
      </c>
      <c r="E123" s="151">
        <f>D118</f>
        <v>120634.4410876132</v>
      </c>
      <c r="F123" s="151">
        <f>D123*F115</f>
        <v>10966.767371601229</v>
      </c>
      <c r="G123" s="151">
        <f>D118-F123</f>
        <v>109667.67371601198</v>
      </c>
      <c r="H123" s="151">
        <f>D123-G123</f>
        <v>2.9103830456733704E-10</v>
      </c>
    </row>
    <row r="124" spans="2:8" ht="15">
      <c r="B124" s="78"/>
      <c r="C124" s="21"/>
      <c r="D124" s="150"/>
      <c r="E124" s="159" t="s">
        <v>37</v>
      </c>
      <c r="F124" s="150">
        <f>F121+F122+F123</f>
        <v>61903.323262839906</v>
      </c>
      <c r="G124" s="150" t="s">
        <v>86</v>
      </c>
      <c r="H124" s="150"/>
    </row>
    <row r="125" spans="2:8" ht="15">
      <c r="B125" s="78"/>
      <c r="C125"/>
      <c r="D125"/>
      <c r="E125"/>
      <c r="F125"/>
      <c r="G125"/>
      <c r="H125"/>
    </row>
    <row r="126" spans="2:8" ht="15">
      <c r="B126" s="135" t="s">
        <v>43</v>
      </c>
      <c r="C126" s="141"/>
      <c r="D126" s="140" t="s">
        <v>151</v>
      </c>
      <c r="E126" s="153">
        <v>3</v>
      </c>
      <c r="F126" s="141" t="s">
        <v>44</v>
      </c>
      <c r="G126" s="27"/>
      <c r="H126" s="27"/>
    </row>
    <row r="127" spans="2:8" ht="15">
      <c r="B127" s="78"/>
      <c r="C127"/>
      <c r="D127"/>
      <c r="E127"/>
      <c r="F127"/>
      <c r="G127"/>
      <c r="H127"/>
    </row>
    <row r="128" spans="2:8" ht="19.5" customHeight="1">
      <c r="B128" s="115"/>
      <c r="C128" s="129" t="s">
        <v>32</v>
      </c>
      <c r="D128" s="129" t="s">
        <v>33</v>
      </c>
      <c r="E128" s="129" t="s">
        <v>34</v>
      </c>
      <c r="F128" s="152" t="s">
        <v>152</v>
      </c>
      <c r="G128" s="152" t="s">
        <v>36</v>
      </c>
      <c r="H128"/>
    </row>
    <row r="129" spans="2:8" ht="15">
      <c r="B129" s="78"/>
      <c r="C129" s="35">
        <v>1</v>
      </c>
      <c r="D129" s="130">
        <f>D115</f>
        <v>300000</v>
      </c>
      <c r="E129" s="130">
        <f>D129*F115</f>
        <v>30000</v>
      </c>
      <c r="F129" s="130">
        <f>D129/E126</f>
        <v>100000</v>
      </c>
      <c r="G129" s="130">
        <f>D129+E129</f>
        <v>330000</v>
      </c>
      <c r="H129"/>
    </row>
    <row r="130" spans="2:8" ht="15">
      <c r="B130" s="78"/>
      <c r="C130" s="35">
        <v>2</v>
      </c>
      <c r="D130" s="130">
        <f>G129</f>
        <v>330000</v>
      </c>
      <c r="E130" s="130">
        <f>D130*F115</f>
        <v>33000</v>
      </c>
      <c r="F130" s="130">
        <f>D129/E126</f>
        <v>100000</v>
      </c>
      <c r="G130" s="130">
        <f>D130+E130</f>
        <v>363000</v>
      </c>
      <c r="H130"/>
    </row>
    <row r="131" spans="2:8" ht="15">
      <c r="B131" s="78"/>
      <c r="C131" s="35">
        <v>3</v>
      </c>
      <c r="D131" s="130">
        <f>G130</f>
        <v>363000</v>
      </c>
      <c r="E131" s="130">
        <f>D131*F115</f>
        <v>36300</v>
      </c>
      <c r="F131" s="130">
        <f>D131+E131</f>
        <v>399300</v>
      </c>
      <c r="G131" s="130">
        <f>F131-G130-E131</f>
        <v>0</v>
      </c>
      <c r="H131"/>
    </row>
    <row r="132" spans="2:8" ht="15">
      <c r="B132" s="78"/>
      <c r="C132"/>
      <c r="D132" s="160" t="s">
        <v>37</v>
      </c>
      <c r="E132" s="154">
        <f>E129+E130+E131</f>
        <v>99300</v>
      </c>
      <c r="F132" s="18" t="s">
        <v>86</v>
      </c>
      <c r="G132" s="18"/>
      <c r="H132"/>
    </row>
    <row r="133" spans="2:8" ht="15">
      <c r="B133" s="78"/>
      <c r="C133"/>
      <c r="D133"/>
      <c r="E133"/>
      <c r="F133"/>
      <c r="G133"/>
      <c r="H133"/>
    </row>
    <row r="134" spans="2:9" ht="15">
      <c r="B134" s="78"/>
      <c r="C134" s="78" t="s">
        <v>19</v>
      </c>
      <c r="D134" s="115" t="s">
        <v>45</v>
      </c>
      <c r="E134" s="155">
        <f>D129*(1+F115)^E126</f>
        <v>399300.0000000001</v>
      </c>
      <c r="F134" s="155" t="s">
        <v>86</v>
      </c>
      <c r="G134" s="156" t="s">
        <v>40</v>
      </c>
      <c r="H134" s="155">
        <f>D129</f>
        <v>300000</v>
      </c>
      <c r="I134" s="40" t="s">
        <v>86</v>
      </c>
    </row>
    <row r="135" spans="2:8" ht="15">
      <c r="B135" s="78"/>
      <c r="C135" s="78"/>
      <c r="D135" s="115" t="s">
        <v>26</v>
      </c>
      <c r="E135" s="155">
        <f>E134-H134</f>
        <v>99300.00000000012</v>
      </c>
      <c r="F135" s="155" t="s">
        <v>86</v>
      </c>
      <c r="G135" s="155"/>
      <c r="H135" s="155"/>
    </row>
    <row r="136" spans="2:11" ht="30" customHeight="1" thickBot="1">
      <c r="B136" s="137"/>
      <c r="C136" s="137"/>
      <c r="D136" s="157"/>
      <c r="E136" s="158"/>
      <c r="F136" s="158"/>
      <c r="G136" s="158"/>
      <c r="H136" s="158"/>
      <c r="I136" s="59"/>
      <c r="J136" s="59"/>
      <c r="K136" s="59"/>
    </row>
    <row r="137" spans="2:11" ht="30" customHeight="1" thickTop="1">
      <c r="B137" s="266"/>
      <c r="C137" s="266"/>
      <c r="D137" s="267"/>
      <c r="E137" s="268"/>
      <c r="F137" s="268"/>
      <c r="G137" s="268"/>
      <c r="H137" s="268"/>
      <c r="I137" s="11"/>
      <c r="J137" s="11"/>
      <c r="K137" s="11"/>
    </row>
    <row r="138" spans="2:11" ht="15.75" customHeight="1">
      <c r="B138" s="136" t="s">
        <v>46</v>
      </c>
      <c r="C138" s="266"/>
      <c r="D138" s="267"/>
      <c r="E138" s="268"/>
      <c r="F138" s="268"/>
      <c r="G138" s="268"/>
      <c r="H138" s="268"/>
      <c r="I138" s="11"/>
      <c r="J138" s="11"/>
      <c r="K138" s="11"/>
    </row>
    <row r="139" spans="2:11" ht="15.75" customHeight="1">
      <c r="B139" s="319" t="s">
        <v>213</v>
      </c>
      <c r="C139" s="319"/>
      <c r="D139" s="319"/>
      <c r="E139" s="319"/>
      <c r="F139" s="319"/>
      <c r="G139" s="319"/>
      <c r="H139" s="319"/>
      <c r="I139" s="319"/>
      <c r="J139" s="11"/>
      <c r="K139" s="11"/>
    </row>
    <row r="140" spans="2:11" ht="15.75" customHeight="1">
      <c r="B140" s="266" t="s">
        <v>214</v>
      </c>
      <c r="C140" s="266"/>
      <c r="D140" s="267"/>
      <c r="E140" s="268"/>
      <c r="F140" s="268"/>
      <c r="G140" s="268"/>
      <c r="H140" s="268"/>
      <c r="I140" s="11"/>
      <c r="J140" s="11"/>
      <c r="K140" s="11"/>
    </row>
    <row r="141" spans="2:11" ht="15.75" customHeight="1">
      <c r="B141" s="266"/>
      <c r="C141" s="266"/>
      <c r="D141" s="267"/>
      <c r="E141" s="268"/>
      <c r="F141" s="268"/>
      <c r="G141" s="268"/>
      <c r="H141" s="268"/>
      <c r="I141" s="11"/>
      <c r="J141" s="11"/>
      <c r="K141" s="11"/>
    </row>
    <row r="142" spans="2:11" ht="19.5" customHeight="1">
      <c r="B142" s="266"/>
      <c r="C142" s="269" t="s">
        <v>215</v>
      </c>
      <c r="D142" s="269">
        <v>40</v>
      </c>
      <c r="E142" s="270" t="s">
        <v>140</v>
      </c>
      <c r="F142" s="270">
        <f>D142*1000</f>
        <v>40000</v>
      </c>
      <c r="G142" s="270" t="s">
        <v>86</v>
      </c>
      <c r="H142" s="268"/>
      <c r="I142" s="11"/>
      <c r="J142" s="11"/>
      <c r="K142" s="11"/>
    </row>
    <row r="143" spans="2:11" ht="19.5" customHeight="1">
      <c r="B143" s="266"/>
      <c r="C143" s="269" t="s">
        <v>2</v>
      </c>
      <c r="D143" s="269">
        <v>10</v>
      </c>
      <c r="E143" s="270" t="s">
        <v>216</v>
      </c>
      <c r="F143" s="271">
        <f>D143/100</f>
        <v>0.1</v>
      </c>
      <c r="G143" s="270"/>
      <c r="H143" s="268"/>
      <c r="I143" s="11"/>
      <c r="J143" s="11"/>
      <c r="K143" s="11"/>
    </row>
    <row r="144" spans="2:11" ht="19.5" customHeight="1">
      <c r="B144" s="272"/>
      <c r="C144" s="273" t="s">
        <v>217</v>
      </c>
      <c r="D144" s="274">
        <v>4</v>
      </c>
      <c r="E144" s="275" t="s">
        <v>30</v>
      </c>
      <c r="F144" s="275"/>
      <c r="G144" s="275"/>
      <c r="H144" s="276"/>
      <c r="I144" s="11"/>
      <c r="J144" s="11"/>
      <c r="K144" s="11"/>
    </row>
    <row r="145" spans="2:11" ht="19.5" customHeight="1">
      <c r="B145" s="266"/>
      <c r="C145" s="269"/>
      <c r="D145" s="277"/>
      <c r="E145" s="270"/>
      <c r="F145" s="270"/>
      <c r="G145" s="270"/>
      <c r="H145" s="268"/>
      <c r="I145" s="11"/>
      <c r="J145" s="11"/>
      <c r="K145" s="11"/>
    </row>
    <row r="146" spans="2:11" ht="19.5" customHeight="1">
      <c r="B146" s="266"/>
      <c r="C146" s="269" t="s">
        <v>41</v>
      </c>
      <c r="D146" s="277">
        <f>(F143*((1+F143)^D144))/(((1+F143)^D144)-1)</f>
        <v>0.31547080370609765</v>
      </c>
      <c r="E146" s="270"/>
      <c r="F146" s="270"/>
      <c r="G146" s="270"/>
      <c r="H146" s="268"/>
      <c r="I146" s="11"/>
      <c r="J146" s="11"/>
      <c r="K146" s="11"/>
    </row>
    <row r="147" spans="2:11" ht="19.5" customHeight="1">
      <c r="B147" s="266"/>
      <c r="C147" s="269" t="s">
        <v>218</v>
      </c>
      <c r="D147" s="278">
        <f>F142*D146</f>
        <v>12618.832148243906</v>
      </c>
      <c r="E147" s="270"/>
      <c r="F147" s="270"/>
      <c r="G147" s="270"/>
      <c r="H147" s="268"/>
      <c r="I147" s="11"/>
      <c r="J147" s="11"/>
      <c r="K147" s="11"/>
    </row>
    <row r="148" spans="2:11" ht="19.5" customHeight="1">
      <c r="B148" s="266"/>
      <c r="C148" s="269"/>
      <c r="D148" s="277"/>
      <c r="E148" s="270"/>
      <c r="F148" s="270"/>
      <c r="G148" s="270"/>
      <c r="H148" s="268"/>
      <c r="I148" s="11"/>
      <c r="J148" s="11"/>
      <c r="K148" s="11"/>
    </row>
    <row r="149" spans="2:11" ht="19.5" customHeight="1">
      <c r="B149" s="266"/>
      <c r="C149" s="129" t="s">
        <v>32</v>
      </c>
      <c r="D149" s="129" t="s">
        <v>33</v>
      </c>
      <c r="E149" s="129" t="s">
        <v>42</v>
      </c>
      <c r="F149" s="129" t="s">
        <v>34</v>
      </c>
      <c r="G149" s="129" t="s">
        <v>35</v>
      </c>
      <c r="H149" s="152" t="s">
        <v>36</v>
      </c>
      <c r="I149" s="11"/>
      <c r="J149" s="11"/>
      <c r="K149" s="11"/>
    </row>
    <row r="150" spans="2:11" ht="15.75" customHeight="1">
      <c r="B150" s="266"/>
      <c r="C150" s="35">
        <v>1</v>
      </c>
      <c r="D150" s="151">
        <f>F142</f>
        <v>40000</v>
      </c>
      <c r="E150" s="151">
        <f>$D$147</f>
        <v>12618.832148243906</v>
      </c>
      <c r="F150" s="151">
        <f>D150*F143</f>
        <v>4000</v>
      </c>
      <c r="G150" s="151">
        <f>E150-F150</f>
        <v>8618.832148243906</v>
      </c>
      <c r="H150" s="151">
        <f>D150-G150</f>
        <v>31381.167851756094</v>
      </c>
      <c r="I150" s="11"/>
      <c r="J150" s="11"/>
      <c r="K150" s="11"/>
    </row>
    <row r="151" spans="2:11" ht="15.75" customHeight="1">
      <c r="B151" s="266"/>
      <c r="C151" s="35">
        <v>2</v>
      </c>
      <c r="D151" s="151">
        <f>H150</f>
        <v>31381.167851756094</v>
      </c>
      <c r="E151" s="151">
        <f>$D$147</f>
        <v>12618.832148243906</v>
      </c>
      <c r="F151" s="151">
        <f>D151*F143</f>
        <v>3138.1167851756095</v>
      </c>
      <c r="G151" s="151">
        <f>E151-F151</f>
        <v>9480.715363068297</v>
      </c>
      <c r="H151" s="151">
        <f>D151-G151</f>
        <v>21900.4524886878</v>
      </c>
      <c r="I151" s="11"/>
      <c r="J151" s="11"/>
      <c r="K151" s="11"/>
    </row>
    <row r="152" spans="2:11" ht="15.75" customHeight="1">
      <c r="B152" s="266"/>
      <c r="C152" s="35">
        <v>3</v>
      </c>
      <c r="D152" s="151">
        <f>H151</f>
        <v>21900.4524886878</v>
      </c>
      <c r="E152" s="151">
        <f>$D$147</f>
        <v>12618.832148243906</v>
      </c>
      <c r="F152" s="151">
        <f>D152*F143</f>
        <v>2190.04524886878</v>
      </c>
      <c r="G152" s="151">
        <f>E152-F152</f>
        <v>10428.786899375125</v>
      </c>
      <c r="H152" s="151">
        <f>D152-G152</f>
        <v>11471.665589312674</v>
      </c>
      <c r="I152" s="11"/>
      <c r="J152" s="11"/>
      <c r="K152" s="11"/>
    </row>
    <row r="153" spans="2:11" ht="15.75" customHeight="1">
      <c r="B153" s="266"/>
      <c r="C153" s="279">
        <v>4</v>
      </c>
      <c r="D153" s="280">
        <f>H152</f>
        <v>11471.665589312674</v>
      </c>
      <c r="E153" s="151">
        <f>$D$147</f>
        <v>12618.832148243906</v>
      </c>
      <c r="F153" s="281">
        <f>D153*F143</f>
        <v>1147.1665589312674</v>
      </c>
      <c r="G153" s="281">
        <f>E153-F153</f>
        <v>11471.665589312639</v>
      </c>
      <c r="H153" s="282">
        <f>D153-G153</f>
        <v>3.456079866737127E-11</v>
      </c>
      <c r="I153" s="11"/>
      <c r="J153" s="11"/>
      <c r="K153" s="11"/>
    </row>
    <row r="154" spans="2:11" ht="30" customHeight="1" thickBot="1">
      <c r="B154" s="137"/>
      <c r="C154" s="137"/>
      <c r="D154" s="157"/>
      <c r="E154" s="158"/>
      <c r="F154" s="158"/>
      <c r="G154" s="158"/>
      <c r="H154" s="158"/>
      <c r="I154" s="59"/>
      <c r="J154" s="59"/>
      <c r="K154" s="59"/>
    </row>
    <row r="155" spans="2:11" ht="30" customHeight="1" thickTop="1">
      <c r="B155" s="266"/>
      <c r="C155" s="266"/>
      <c r="D155" s="267"/>
      <c r="E155" s="268"/>
      <c r="F155" s="268"/>
      <c r="G155" s="268"/>
      <c r="H155" s="268"/>
      <c r="I155" s="11"/>
      <c r="J155" s="11"/>
      <c r="K155" s="11"/>
    </row>
    <row r="156" spans="2:11" ht="18.75" customHeight="1">
      <c r="B156" s="136" t="s">
        <v>53</v>
      </c>
      <c r="C156" s="266"/>
      <c r="D156" s="267"/>
      <c r="E156" s="268"/>
      <c r="F156" s="268"/>
      <c r="G156" s="268"/>
      <c r="H156" s="268"/>
      <c r="I156" s="11"/>
      <c r="J156" s="11"/>
      <c r="K156" s="11"/>
    </row>
    <row r="157" spans="2:11" ht="15" customHeight="1">
      <c r="B157" s="319" t="s">
        <v>219</v>
      </c>
      <c r="C157" s="319"/>
      <c r="D157" s="319"/>
      <c r="E157" s="319"/>
      <c r="F157" s="319"/>
      <c r="G157" s="319"/>
      <c r="H157" s="319"/>
      <c r="I157" s="319"/>
      <c r="J157" s="11"/>
      <c r="K157" s="11"/>
    </row>
    <row r="158" spans="2:11" ht="15" customHeight="1">
      <c r="B158" s="266" t="s">
        <v>220</v>
      </c>
      <c r="C158" s="266"/>
      <c r="D158" s="267"/>
      <c r="E158" s="268"/>
      <c r="F158" s="268"/>
      <c r="G158" s="268"/>
      <c r="H158" s="268"/>
      <c r="I158" s="11"/>
      <c r="J158" s="11"/>
      <c r="K158" s="11"/>
    </row>
    <row r="159" spans="2:11" ht="15" customHeight="1">
      <c r="B159" s="266"/>
      <c r="C159" s="266"/>
      <c r="D159" s="267"/>
      <c r="E159" s="268"/>
      <c r="F159" s="268"/>
      <c r="G159" s="268"/>
      <c r="H159" s="268"/>
      <c r="I159" s="11"/>
      <c r="J159" s="11"/>
      <c r="K159" s="11"/>
    </row>
    <row r="160" spans="2:11" ht="24.75" customHeight="1">
      <c r="B160" s="266"/>
      <c r="C160" s="269" t="s">
        <v>23</v>
      </c>
      <c r="D160" s="283">
        <v>40</v>
      </c>
      <c r="E160" s="270" t="s">
        <v>140</v>
      </c>
      <c r="F160" s="270">
        <f>D160*1000</f>
        <v>40000</v>
      </c>
      <c r="G160" s="270" t="s">
        <v>86</v>
      </c>
      <c r="H160" s="268"/>
      <c r="I160" s="11"/>
      <c r="J160" s="11"/>
      <c r="K160" s="11"/>
    </row>
    <row r="161" spans="2:11" ht="24.75" customHeight="1">
      <c r="B161" s="266"/>
      <c r="C161" s="269" t="s">
        <v>2</v>
      </c>
      <c r="D161" s="269">
        <v>10</v>
      </c>
      <c r="E161" s="270" t="s">
        <v>216</v>
      </c>
      <c r="F161" s="271">
        <f>D161/100</f>
        <v>0.1</v>
      </c>
      <c r="G161" s="270"/>
      <c r="H161" s="268"/>
      <c r="I161" s="11"/>
      <c r="J161" s="11"/>
      <c r="K161" s="11"/>
    </row>
    <row r="162" spans="2:11" ht="24.75" customHeight="1">
      <c r="B162" s="272"/>
      <c r="C162" s="273" t="s">
        <v>217</v>
      </c>
      <c r="D162" s="273">
        <v>4</v>
      </c>
      <c r="E162" s="275" t="s">
        <v>30</v>
      </c>
      <c r="F162" s="275"/>
      <c r="G162" s="275"/>
      <c r="H162" s="276"/>
      <c r="I162" s="11"/>
      <c r="J162" s="11"/>
      <c r="K162" s="11"/>
    </row>
    <row r="163" spans="2:11" ht="24.75" customHeight="1">
      <c r="B163" s="266"/>
      <c r="C163" s="269"/>
      <c r="D163" s="269"/>
      <c r="E163" s="270"/>
      <c r="F163" s="270"/>
      <c r="G163" s="270"/>
      <c r="H163" s="268"/>
      <c r="I163" s="11"/>
      <c r="J163" s="11"/>
      <c r="K163" s="11"/>
    </row>
    <row r="164" spans="2:11" ht="18.75" customHeight="1">
      <c r="B164" s="266"/>
      <c r="C164" s="269" t="s">
        <v>221</v>
      </c>
      <c r="D164" s="283">
        <f>F160/D162</f>
        <v>10000</v>
      </c>
      <c r="E164" s="270" t="s">
        <v>86</v>
      </c>
      <c r="F164" s="284" t="s">
        <v>5</v>
      </c>
      <c r="G164" s="285" t="s">
        <v>36</v>
      </c>
      <c r="H164" s="286"/>
      <c r="I164" s="11"/>
      <c r="J164" s="11"/>
      <c r="K164" s="11"/>
    </row>
    <row r="165" spans="2:11" ht="15" customHeight="1">
      <c r="B165" s="266"/>
      <c r="C165" s="269"/>
      <c r="D165" s="283"/>
      <c r="E165" s="270"/>
      <c r="F165" s="287">
        <v>1</v>
      </c>
      <c r="G165" s="288">
        <f>F160</f>
        <v>40000</v>
      </c>
      <c r="H165" s="268"/>
      <c r="I165" s="11"/>
      <c r="J165" s="11"/>
      <c r="K165" s="11"/>
    </row>
    <row r="166" spans="2:11" ht="15" customHeight="1">
      <c r="B166" s="266"/>
      <c r="C166" s="269"/>
      <c r="D166" s="283"/>
      <c r="E166" s="270"/>
      <c r="F166" s="287">
        <v>2</v>
      </c>
      <c r="G166" s="287">
        <f>F160-D164</f>
        <v>30000</v>
      </c>
      <c r="H166" s="268"/>
      <c r="I166" s="11"/>
      <c r="J166" s="11"/>
      <c r="K166" s="11"/>
    </row>
    <row r="167" spans="2:11" ht="15" customHeight="1">
      <c r="B167" s="266"/>
      <c r="C167" s="269"/>
      <c r="D167" s="283"/>
      <c r="E167" s="270"/>
      <c r="F167" s="287">
        <v>3</v>
      </c>
      <c r="G167" s="287">
        <f>G166-D164</f>
        <v>20000</v>
      </c>
      <c r="H167" s="268"/>
      <c r="I167" s="11"/>
      <c r="J167" s="11"/>
      <c r="K167" s="11"/>
    </row>
    <row r="168" spans="2:11" ht="15" customHeight="1">
      <c r="B168" s="266"/>
      <c r="D168" s="267"/>
      <c r="E168" s="268"/>
      <c r="F168" s="288">
        <v>4</v>
      </c>
      <c r="G168" s="287">
        <f>G167-D164</f>
        <v>10000</v>
      </c>
      <c r="H168" s="268"/>
      <c r="I168" s="11"/>
      <c r="J168" s="11"/>
      <c r="K168" s="11"/>
    </row>
    <row r="169" spans="2:11" ht="15" customHeight="1">
      <c r="B169" s="266"/>
      <c r="C169" s="267"/>
      <c r="D169" s="267"/>
      <c r="E169" s="268"/>
      <c r="F169" s="288" t="s">
        <v>222</v>
      </c>
      <c r="G169" s="287">
        <f>G168-D164</f>
        <v>0</v>
      </c>
      <c r="H169" s="268"/>
      <c r="I169" s="11"/>
      <c r="J169" s="11"/>
      <c r="K169" s="11"/>
    </row>
    <row r="170" spans="2:11" ht="15" customHeight="1">
      <c r="B170" s="266"/>
      <c r="D170" s="289"/>
      <c r="E170" s="268"/>
      <c r="F170" s="268"/>
      <c r="G170" s="268"/>
      <c r="H170" s="268"/>
      <c r="I170" s="11"/>
      <c r="J170" s="11"/>
      <c r="K170" s="11"/>
    </row>
    <row r="171" spans="2:11" ht="15" customHeight="1">
      <c r="B171" s="266"/>
      <c r="C171" s="267" t="s">
        <v>145</v>
      </c>
      <c r="D171" s="290">
        <f>G165*F161+G166*F161+G167*F161+G168*F161</f>
        <v>10000</v>
      </c>
      <c r="E171" s="291" t="s">
        <v>86</v>
      </c>
      <c r="F171" s="268"/>
      <c r="G171" s="268"/>
      <c r="H171" s="268"/>
      <c r="I171" s="11"/>
      <c r="J171" s="11"/>
      <c r="K171" s="11"/>
    </row>
    <row r="172" spans="2:11" ht="30" customHeight="1" thickBot="1">
      <c r="B172" s="137"/>
      <c r="C172" s="137"/>
      <c r="D172" s="157"/>
      <c r="E172" s="158"/>
      <c r="F172" s="158"/>
      <c r="G172" s="158"/>
      <c r="H172" s="158"/>
      <c r="I172" s="59"/>
      <c r="J172" s="59"/>
      <c r="K172" s="59"/>
    </row>
    <row r="173" ht="30" customHeight="1" thickTop="1">
      <c r="B173" s="79"/>
    </row>
    <row r="174" ht="15.75">
      <c r="B174" s="136" t="s">
        <v>210</v>
      </c>
    </row>
    <row r="175" ht="15">
      <c r="B175" s="51" t="s">
        <v>224</v>
      </c>
    </row>
    <row r="176" ht="15">
      <c r="B176" s="40" t="s">
        <v>156</v>
      </c>
    </row>
    <row r="177" ht="15">
      <c r="B177" s="40" t="s">
        <v>158</v>
      </c>
    </row>
    <row r="178" ht="15">
      <c r="B178" s="40" t="s">
        <v>157</v>
      </c>
    </row>
    <row r="179" ht="15.75">
      <c r="B179" s="136"/>
    </row>
    <row r="180" spans="2:7" ht="24.75" customHeight="1">
      <c r="B180" s="80" t="s">
        <v>2</v>
      </c>
      <c r="C180" s="81">
        <v>8</v>
      </c>
      <c r="D180" s="84" t="s">
        <v>159</v>
      </c>
      <c r="E180" s="162">
        <f>C180/100</f>
        <v>0.08</v>
      </c>
      <c r="F180" s="81"/>
      <c r="G180" s="81"/>
    </row>
    <row r="181" spans="2:7" ht="24.75" customHeight="1">
      <c r="B181" s="80" t="s">
        <v>4</v>
      </c>
      <c r="C181" s="84">
        <v>5</v>
      </c>
      <c r="D181" s="85" t="s">
        <v>25</v>
      </c>
      <c r="E181" s="162"/>
      <c r="F181" s="84"/>
      <c r="G181" s="85"/>
    </row>
    <row r="182" spans="2:7" ht="24.75" customHeight="1">
      <c r="B182" s="80" t="s">
        <v>27</v>
      </c>
      <c r="C182" s="81">
        <v>750</v>
      </c>
      <c r="D182" s="91" t="s">
        <v>140</v>
      </c>
      <c r="E182" s="163">
        <f>C182*1000</f>
        <v>750000</v>
      </c>
      <c r="F182" s="85" t="s">
        <v>86</v>
      </c>
      <c r="G182" s="85"/>
    </row>
    <row r="183" spans="2:11" ht="24.75" customHeight="1">
      <c r="B183" s="161" t="s">
        <v>47</v>
      </c>
      <c r="C183" s="90">
        <v>3000</v>
      </c>
      <c r="D183" s="95" t="s">
        <v>140</v>
      </c>
      <c r="E183" s="164">
        <f>C183*1000</f>
        <v>3000000</v>
      </c>
      <c r="F183" s="96" t="s">
        <v>86</v>
      </c>
      <c r="G183" s="16"/>
      <c r="H183" s="3"/>
      <c r="I183" s="3"/>
      <c r="J183" s="3"/>
      <c r="K183" s="3"/>
    </row>
    <row r="184" ht="15">
      <c r="B184" s="79"/>
    </row>
    <row r="185" spans="2:7" ht="15">
      <c r="B185" s="79"/>
      <c r="C185" s="49" t="s">
        <v>48</v>
      </c>
      <c r="D185" s="317">
        <f>((1+E180)^C181-1)/(((1+E180)^C181)*E180)</f>
        <v>3.9927100370780875</v>
      </c>
      <c r="E185" s="317"/>
      <c r="F185" s="54"/>
      <c r="G185" s="54"/>
    </row>
    <row r="186" spans="2:7" ht="15">
      <c r="B186" s="79"/>
      <c r="C186" s="49" t="s">
        <v>49</v>
      </c>
      <c r="D186" s="316">
        <f>E182*D185</f>
        <v>2994532.5278085656</v>
      </c>
      <c r="E186" s="316"/>
      <c r="F186" s="40" t="s">
        <v>86</v>
      </c>
      <c r="G186" s="54"/>
    </row>
    <row r="187" spans="2:7" ht="15">
      <c r="B187" s="79"/>
      <c r="C187" s="40"/>
      <c r="D187" s="40"/>
      <c r="E187" s="40"/>
      <c r="F187" s="54"/>
      <c r="G187" s="54"/>
    </row>
    <row r="188" spans="2:7" ht="15">
      <c r="B188" s="79"/>
      <c r="C188" s="49" t="s">
        <v>50</v>
      </c>
      <c r="D188" s="165">
        <f>E183-D186</f>
        <v>5467.472191434354</v>
      </c>
      <c r="E188" s="40" t="s">
        <v>86</v>
      </c>
      <c r="F188" s="54"/>
      <c r="G188" s="54"/>
    </row>
    <row r="189" spans="2:7" ht="15">
      <c r="B189" s="79"/>
      <c r="C189" s="54"/>
      <c r="D189" s="54"/>
      <c r="E189" s="54"/>
      <c r="F189" s="54"/>
      <c r="G189" s="54"/>
    </row>
    <row r="190" spans="2:7" ht="15.75">
      <c r="B190" s="79"/>
      <c r="C190" s="49" t="s">
        <v>51</v>
      </c>
      <c r="D190" s="292" t="str">
        <f>IF(D188&gt;0,"bude","nebude")</f>
        <v>bude</v>
      </c>
      <c r="E190" s="40" t="s">
        <v>52</v>
      </c>
      <c r="F190" s="54"/>
      <c r="G190" s="54"/>
    </row>
    <row r="191" spans="2:11" ht="30" customHeight="1" thickBot="1">
      <c r="B191" s="137"/>
      <c r="C191" s="166"/>
      <c r="D191" s="167"/>
      <c r="E191" s="168"/>
      <c r="F191" s="66"/>
      <c r="G191" s="66"/>
      <c r="H191" s="59"/>
      <c r="I191" s="59"/>
      <c r="J191" s="59"/>
      <c r="K191" s="59"/>
    </row>
    <row r="192" spans="2:11" ht="30" customHeight="1" thickTop="1">
      <c r="B192" s="266"/>
      <c r="C192" s="190"/>
      <c r="D192" s="204"/>
      <c r="E192" s="170"/>
      <c r="F192" s="293"/>
      <c r="G192" s="293"/>
      <c r="H192" s="11"/>
      <c r="I192" s="11"/>
      <c r="J192" s="11"/>
      <c r="K192" s="11"/>
    </row>
    <row r="193" spans="2:11" ht="15.75" customHeight="1">
      <c r="B193" s="136" t="s">
        <v>223</v>
      </c>
      <c r="C193" s="190"/>
      <c r="D193" s="204"/>
      <c r="E193" s="170"/>
      <c r="F193" s="293"/>
      <c r="G193" s="293"/>
      <c r="H193" s="11"/>
      <c r="I193" s="11"/>
      <c r="J193" s="11"/>
      <c r="K193" s="11"/>
    </row>
    <row r="194" spans="2:11" ht="15.75" customHeight="1">
      <c r="B194" s="240" t="s">
        <v>226</v>
      </c>
      <c r="C194" s="190"/>
      <c r="D194" s="204"/>
      <c r="E194" s="170"/>
      <c r="F194" s="293"/>
      <c r="G194" s="293"/>
      <c r="H194" s="11"/>
      <c r="I194" s="11"/>
      <c r="J194" s="11"/>
      <c r="K194" s="11"/>
    </row>
    <row r="195" spans="2:11" s="48" customFormat="1" ht="24.75" customHeight="1">
      <c r="B195" s="273" t="s">
        <v>92</v>
      </c>
      <c r="C195" s="86">
        <v>12</v>
      </c>
      <c r="D195" s="96" t="s">
        <v>227</v>
      </c>
      <c r="E195" s="95"/>
      <c r="F195" s="294"/>
      <c r="G195" s="294"/>
      <c r="H195" s="52"/>
      <c r="I195" s="52"/>
      <c r="J195" s="227"/>
      <c r="K195" s="227"/>
    </row>
    <row r="196" spans="2:11" s="48" customFormat="1" ht="15.75" customHeight="1">
      <c r="B196" s="295"/>
      <c r="C196" s="80"/>
      <c r="D196" s="265"/>
      <c r="E196" s="228"/>
      <c r="F196" s="296"/>
      <c r="G196" s="296"/>
      <c r="H196" s="227"/>
      <c r="I196" s="227"/>
      <c r="J196" s="227"/>
      <c r="K196" s="227"/>
    </row>
    <row r="197" spans="2:12" s="48" customFormat="1" ht="18.75" customHeight="1">
      <c r="B197" s="297" t="s">
        <v>228</v>
      </c>
      <c r="C197" s="297">
        <v>1</v>
      </c>
      <c r="D197" s="297">
        <v>2</v>
      </c>
      <c r="E197" s="297">
        <v>3</v>
      </c>
      <c r="F197" s="297">
        <v>4</v>
      </c>
      <c r="G197" s="297">
        <v>5</v>
      </c>
      <c r="H197" s="297">
        <v>6</v>
      </c>
      <c r="I197" s="297">
        <v>7</v>
      </c>
      <c r="J197" s="295">
        <v>8</v>
      </c>
      <c r="K197" s="295"/>
      <c r="L197" s="295"/>
    </row>
    <row r="198" spans="2:11" s="48" customFormat="1" ht="15.75" customHeight="1">
      <c r="B198" s="298">
        <v>10</v>
      </c>
      <c r="C198" s="299">
        <f>(B198*$C$195/100)+B198</f>
        <v>11.2</v>
      </c>
      <c r="D198" s="299">
        <f aca="true" t="shared" si="0" ref="D198:I198">(C198*$C$195/100)+C198</f>
        <v>12.543999999999999</v>
      </c>
      <c r="E198" s="299">
        <f t="shared" si="0"/>
        <v>14.04928</v>
      </c>
      <c r="F198" s="299">
        <f t="shared" si="0"/>
        <v>15.735193599999999</v>
      </c>
      <c r="G198" s="299">
        <f t="shared" si="0"/>
        <v>17.623416831999997</v>
      </c>
      <c r="H198" s="299">
        <f t="shared" si="0"/>
        <v>19.738226851839997</v>
      </c>
      <c r="I198" s="299">
        <f t="shared" si="0"/>
        <v>22.106814074060797</v>
      </c>
      <c r="J198" s="227"/>
      <c r="K198" s="227"/>
    </row>
    <row r="199" spans="2:11" s="48" customFormat="1" ht="15.75" customHeight="1">
      <c r="B199" s="300" t="s">
        <v>229</v>
      </c>
      <c r="C199" s="299">
        <f>C198/$B$198</f>
        <v>1.1199999999999999</v>
      </c>
      <c r="D199" s="299">
        <f aca="true" t="shared" si="1" ref="D199:I199">D198/$B$198</f>
        <v>1.2544</v>
      </c>
      <c r="E199" s="299">
        <f t="shared" si="1"/>
        <v>1.404928</v>
      </c>
      <c r="F199" s="299">
        <f t="shared" si="1"/>
        <v>1.57351936</v>
      </c>
      <c r="G199" s="299">
        <f t="shared" si="1"/>
        <v>1.7623416831999996</v>
      </c>
      <c r="H199" s="299">
        <f t="shared" si="1"/>
        <v>1.9738226851839997</v>
      </c>
      <c r="I199" s="299">
        <f t="shared" si="1"/>
        <v>2.2106814074060797</v>
      </c>
      <c r="J199" s="227"/>
      <c r="K199" s="227"/>
    </row>
    <row r="200" spans="2:11" s="48" customFormat="1" ht="6.75" customHeight="1">
      <c r="B200" s="277"/>
      <c r="C200" s="265"/>
      <c r="D200" s="265"/>
      <c r="E200" s="265"/>
      <c r="F200" s="301"/>
      <c r="G200" s="301"/>
      <c r="H200" s="302"/>
      <c r="I200" s="302"/>
      <c r="J200" s="227"/>
      <c r="K200" s="227"/>
    </row>
    <row r="201" spans="2:11" s="48" customFormat="1" ht="18" customHeight="1">
      <c r="B201" s="297">
        <v>8</v>
      </c>
      <c r="C201" s="297">
        <v>9</v>
      </c>
      <c r="D201" s="297">
        <v>10</v>
      </c>
      <c r="E201" s="297">
        <v>11</v>
      </c>
      <c r="F201" s="297">
        <v>12</v>
      </c>
      <c r="G201" s="297">
        <v>13</v>
      </c>
      <c r="H201" s="297">
        <v>14</v>
      </c>
      <c r="I201" s="297">
        <v>15</v>
      </c>
      <c r="J201" s="227"/>
      <c r="K201" s="227"/>
    </row>
    <row r="202" spans="2:11" s="48" customFormat="1" ht="15.75" customHeight="1">
      <c r="B202" s="303">
        <f>(I198*$C$195/100)+I198</f>
        <v>24.759631762948093</v>
      </c>
      <c r="C202" s="303">
        <f>(B202*$C$195/100)+B202</f>
        <v>27.730787574501864</v>
      </c>
      <c r="D202" s="303">
        <f aca="true" t="shared" si="2" ref="D202:I202">(C202*$C$195/100)+C202</f>
        <v>31.058482083442087</v>
      </c>
      <c r="E202" s="303">
        <f t="shared" si="2"/>
        <v>34.785499933455135</v>
      </c>
      <c r="F202" s="303">
        <f t="shared" si="2"/>
        <v>38.959759925469754</v>
      </c>
      <c r="G202" s="303">
        <f t="shared" si="2"/>
        <v>43.634931116526126</v>
      </c>
      <c r="H202" s="303">
        <f t="shared" si="2"/>
        <v>48.87112285050926</v>
      </c>
      <c r="I202" s="303">
        <f t="shared" si="2"/>
        <v>54.73565759257037</v>
      </c>
      <c r="J202" s="227"/>
      <c r="K202" s="227"/>
    </row>
    <row r="203" spans="2:11" s="48" customFormat="1" ht="15.75" customHeight="1">
      <c r="B203" s="303">
        <f>B202/$B$198</f>
        <v>2.475963176294809</v>
      </c>
      <c r="C203" s="303">
        <f aca="true" t="shared" si="3" ref="C203:I203">C202/$B$198</f>
        <v>2.7730787574501865</v>
      </c>
      <c r="D203" s="303">
        <f t="shared" si="3"/>
        <v>3.1058482083442085</v>
      </c>
      <c r="E203" s="303">
        <f t="shared" si="3"/>
        <v>3.4785499933455135</v>
      </c>
      <c r="F203" s="303">
        <f t="shared" si="3"/>
        <v>3.8959759925469752</v>
      </c>
      <c r="G203" s="303">
        <f t="shared" si="3"/>
        <v>4.3634931116526126</v>
      </c>
      <c r="H203" s="303">
        <f t="shared" si="3"/>
        <v>4.887112285050926</v>
      </c>
      <c r="I203" s="303">
        <f t="shared" si="3"/>
        <v>5.473565759257037</v>
      </c>
      <c r="J203" s="227"/>
      <c r="K203" s="227"/>
    </row>
    <row r="204" spans="2:11" s="48" customFormat="1" ht="15.75" customHeight="1">
      <c r="B204" s="304"/>
      <c r="C204" s="304"/>
      <c r="D204" s="304"/>
      <c r="E204" s="304"/>
      <c r="F204" s="304"/>
      <c r="G204" s="304"/>
      <c r="H204" s="304"/>
      <c r="I204" s="304"/>
      <c r="J204" s="227"/>
      <c r="K204" s="227"/>
    </row>
    <row r="205" spans="3:11" s="48" customFormat="1" ht="15.75" customHeight="1" hidden="1">
      <c r="C205" s="304">
        <f aca="true" t="shared" si="4" ref="C205:J205">IF(C199&gt;3,C197,1000)</f>
        <v>1000</v>
      </c>
      <c r="D205" s="304">
        <f t="shared" si="4"/>
        <v>1000</v>
      </c>
      <c r="E205" s="304">
        <f t="shared" si="4"/>
        <v>1000</v>
      </c>
      <c r="F205" s="304">
        <f t="shared" si="4"/>
        <v>1000</v>
      </c>
      <c r="G205" s="304">
        <f t="shared" si="4"/>
        <v>1000</v>
      </c>
      <c r="H205" s="304">
        <f t="shared" si="4"/>
        <v>1000</v>
      </c>
      <c r="I205" s="304">
        <f t="shared" si="4"/>
        <v>1000</v>
      </c>
      <c r="J205" s="304">
        <f t="shared" si="4"/>
        <v>1000</v>
      </c>
      <c r="K205" s="227"/>
    </row>
    <row r="206" spans="2:11" s="48" customFormat="1" ht="15.75" customHeight="1" hidden="1">
      <c r="B206" s="48">
        <f>IF(B203&gt;3,B201,1000)</f>
        <v>1000</v>
      </c>
      <c r="C206" s="48">
        <f>IF(C203&gt;3,C201,1000)</f>
        <v>1000</v>
      </c>
      <c r="D206" s="48">
        <f aca="true" t="shared" si="5" ref="D206:I206">IF(D203&gt;3,D201,1000)</f>
        <v>10</v>
      </c>
      <c r="E206" s="48">
        <f t="shared" si="5"/>
        <v>11</v>
      </c>
      <c r="F206" s="48">
        <f t="shared" si="5"/>
        <v>12</v>
      </c>
      <c r="G206" s="48">
        <f t="shared" si="5"/>
        <v>13</v>
      </c>
      <c r="H206" s="48">
        <f t="shared" si="5"/>
        <v>14</v>
      </c>
      <c r="I206" s="48">
        <f t="shared" si="5"/>
        <v>15</v>
      </c>
      <c r="J206" s="304"/>
      <c r="K206" s="227"/>
    </row>
    <row r="207" spans="3:11" s="48" customFormat="1" ht="15.75" customHeight="1">
      <c r="C207" s="305" t="s">
        <v>230</v>
      </c>
      <c r="D207" s="306">
        <f>MIN(B205:I206)</f>
        <v>10</v>
      </c>
      <c r="E207" s="307" t="s">
        <v>231</v>
      </c>
      <c r="F207" s="304"/>
      <c r="G207" s="304"/>
      <c r="H207" s="304"/>
      <c r="I207" s="304"/>
      <c r="J207" s="227"/>
      <c r="K207" s="227"/>
    </row>
    <row r="208" spans="2:11" ht="30" customHeight="1" thickBot="1">
      <c r="B208" s="137"/>
      <c r="C208" s="166"/>
      <c r="D208" s="167"/>
      <c r="E208" s="168"/>
      <c r="F208" s="66"/>
      <c r="G208" s="66"/>
      <c r="H208" s="59"/>
      <c r="I208" s="59"/>
      <c r="J208" s="59"/>
      <c r="K208" s="59"/>
    </row>
    <row r="209" spans="2:5" ht="30" customHeight="1" thickTop="1">
      <c r="B209" s="79"/>
      <c r="C209" s="40"/>
      <c r="D209" s="40"/>
      <c r="E209" s="40"/>
    </row>
    <row r="210" ht="15.75">
      <c r="B210" s="136" t="s">
        <v>225</v>
      </c>
    </row>
    <row r="211" ht="15">
      <c r="B211" s="51" t="s">
        <v>161</v>
      </c>
    </row>
    <row r="212" spans="2:8" ht="15">
      <c r="B212" s="170" t="s">
        <v>160</v>
      </c>
      <c r="C212" s="11"/>
      <c r="D212" s="11"/>
      <c r="E212" s="11"/>
      <c r="F212" s="11"/>
      <c r="G212" s="11"/>
      <c r="H212" s="11"/>
    </row>
    <row r="213" spans="2:8" ht="15.75">
      <c r="B213" s="171"/>
      <c r="C213" s="11"/>
      <c r="D213" s="11"/>
      <c r="E213" s="11"/>
      <c r="F213" s="11"/>
      <c r="G213" s="11"/>
      <c r="H213" s="11"/>
    </row>
    <row r="214" spans="2:7" ht="24.75" customHeight="1">
      <c r="B214" s="172"/>
      <c r="C214" s="112" t="s">
        <v>2</v>
      </c>
      <c r="D214" s="112">
        <v>5</v>
      </c>
      <c r="E214" s="112" t="s">
        <v>162</v>
      </c>
      <c r="F214" s="174" t="s">
        <v>12</v>
      </c>
      <c r="G214" s="111">
        <f>D214/100</f>
        <v>0.05</v>
      </c>
    </row>
    <row r="215" spans="2:7" ht="24.75" customHeight="1">
      <c r="B215" s="172"/>
      <c r="C215" s="112" t="s">
        <v>54</v>
      </c>
      <c r="D215" s="111">
        <v>1800</v>
      </c>
      <c r="E215" s="111" t="s">
        <v>55</v>
      </c>
      <c r="F215" s="111"/>
      <c r="G215" s="114"/>
    </row>
    <row r="216" spans="2:8" ht="24.75" customHeight="1">
      <c r="B216" s="173"/>
      <c r="C216" s="89" t="s">
        <v>56</v>
      </c>
      <c r="D216" s="175">
        <f>360/D215</f>
        <v>0.2</v>
      </c>
      <c r="E216" s="90"/>
      <c r="F216" s="90"/>
      <c r="G216" s="45"/>
      <c r="H216" s="3"/>
    </row>
    <row r="217" ht="15">
      <c r="B217" s="79"/>
    </row>
    <row r="218" spans="2:5" ht="19.5">
      <c r="B218" s="79"/>
      <c r="C218" s="49" t="s">
        <v>164</v>
      </c>
      <c r="D218" s="308">
        <f>(((1+(D214/100)/D216)^D216-1)*100)</f>
        <v>4.563955259127317</v>
      </c>
      <c r="E218" s="136" t="s">
        <v>13</v>
      </c>
    </row>
    <row r="219" spans="2:11" ht="30" customHeight="1" thickBot="1">
      <c r="B219" s="137"/>
      <c r="C219" s="138"/>
      <c r="D219" s="169"/>
      <c r="E219" s="59"/>
      <c r="F219" s="59"/>
      <c r="G219" s="59"/>
      <c r="H219" s="59"/>
      <c r="I219" s="59"/>
      <c r="J219" s="59"/>
      <c r="K219" s="59"/>
    </row>
    <row r="220" ht="13.5" thickTop="1"/>
  </sheetData>
  <mergeCells count="19">
    <mergeCell ref="B25:C25"/>
    <mergeCell ref="B13:C13"/>
    <mergeCell ref="B14:C14"/>
    <mergeCell ref="G101:H101"/>
    <mergeCell ref="B6:L6"/>
    <mergeCell ref="B12:C12"/>
    <mergeCell ref="B19:J19"/>
    <mergeCell ref="B24:C24"/>
    <mergeCell ref="G102:H102"/>
    <mergeCell ref="G104:H104"/>
    <mergeCell ref="G103:H103"/>
    <mergeCell ref="G108:H108"/>
    <mergeCell ref="D186:E186"/>
    <mergeCell ref="D185:E185"/>
    <mergeCell ref="G109:H109"/>
    <mergeCell ref="G110:H110"/>
    <mergeCell ref="G111:H111"/>
    <mergeCell ref="B157:I157"/>
    <mergeCell ref="B139:I139"/>
  </mergeCells>
  <printOptions/>
  <pageMargins left="0.75" right="0.75" top="1" bottom="1" header="0.4921259845" footer="0.492125984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13.00390625" style="1" customWidth="1"/>
    <col min="3" max="3" width="15.375" style="1" customWidth="1"/>
    <col min="4" max="4" width="12.625" style="1" customWidth="1"/>
    <col min="5" max="5" width="13.375" style="1" bestFit="1" customWidth="1"/>
    <col min="6" max="6" width="11.75390625" style="1" bestFit="1" customWidth="1"/>
    <col min="7" max="7" width="12.875" style="1" bestFit="1" customWidth="1"/>
    <col min="8" max="8" width="13.375" style="1" bestFit="1" customWidth="1"/>
    <col min="9" max="9" width="12.125" style="1" bestFit="1" customWidth="1"/>
    <col min="10" max="10" width="2.00390625" style="1" customWidth="1"/>
    <col min="11" max="11" width="13.00390625" style="1" customWidth="1"/>
    <col min="12" max="12" width="0" style="1" hidden="1" customWidth="1"/>
    <col min="13" max="16384" width="9.125" style="1" customWidth="1"/>
  </cols>
  <sheetData>
    <row r="2" ht="15">
      <c r="B2" s="40" t="s">
        <v>163</v>
      </c>
    </row>
    <row r="3" ht="23.25">
      <c r="B3" s="70" t="s">
        <v>57</v>
      </c>
    </row>
    <row r="4" ht="23.25">
      <c r="B4" s="70"/>
    </row>
    <row r="5" ht="15.75">
      <c r="B5" s="136" t="s">
        <v>58</v>
      </c>
    </row>
    <row r="6" spans="2:9" ht="39" customHeight="1">
      <c r="B6" s="334" t="s">
        <v>168</v>
      </c>
      <c r="C6" s="334"/>
      <c r="D6" s="334"/>
      <c r="E6" s="334"/>
      <c r="F6" s="334"/>
      <c r="G6" s="334"/>
      <c r="H6" s="334"/>
      <c r="I6" s="334"/>
    </row>
    <row r="7" spans="2:9" ht="18" customHeight="1">
      <c r="B7" s="335" t="s">
        <v>165</v>
      </c>
      <c r="C7" s="335"/>
      <c r="D7" s="335"/>
      <c r="E7" s="335"/>
      <c r="F7" s="335"/>
      <c r="G7" s="335"/>
      <c r="H7" s="335"/>
      <c r="I7" s="335"/>
    </row>
    <row r="8" spans="2:9" ht="18" customHeight="1">
      <c r="B8" s="176"/>
      <c r="C8" s="176"/>
      <c r="D8" s="176"/>
      <c r="E8" s="176"/>
      <c r="F8" s="176"/>
      <c r="G8" s="176"/>
      <c r="H8" s="176"/>
      <c r="I8" s="176"/>
    </row>
    <row r="9" spans="2:7" s="48" customFormat="1" ht="24.75" customHeight="1">
      <c r="B9" s="172"/>
      <c r="C9" s="100" t="s">
        <v>166</v>
      </c>
      <c r="D9" s="91">
        <v>1800</v>
      </c>
      <c r="E9" s="91" t="s">
        <v>140</v>
      </c>
      <c r="F9" s="177">
        <f>D9*1000</f>
        <v>1800000</v>
      </c>
      <c r="G9" s="47" t="s">
        <v>86</v>
      </c>
    </row>
    <row r="10" spans="2:11" s="48" customFormat="1" ht="24.75" customHeight="1">
      <c r="B10" s="173"/>
      <c r="C10" s="86" t="s">
        <v>27</v>
      </c>
      <c r="D10" s="95">
        <v>100</v>
      </c>
      <c r="E10" s="95" t="s">
        <v>140</v>
      </c>
      <c r="F10" s="178">
        <v>100000</v>
      </c>
      <c r="G10" s="86"/>
      <c r="H10" s="86" t="s">
        <v>167</v>
      </c>
      <c r="I10" s="95" t="s">
        <v>59</v>
      </c>
      <c r="J10" s="52"/>
      <c r="K10" s="52"/>
    </row>
    <row r="11" ht="15">
      <c r="B11" s="79"/>
    </row>
    <row r="12" spans="2:11" s="48" customFormat="1" ht="18" customHeight="1">
      <c r="B12" s="179" t="s">
        <v>31</v>
      </c>
      <c r="C12" s="183" t="s">
        <v>5</v>
      </c>
      <c r="D12" s="183">
        <v>1</v>
      </c>
      <c r="E12" s="183">
        <v>2</v>
      </c>
      <c r="F12" s="183">
        <v>3</v>
      </c>
      <c r="G12" s="183">
        <v>4</v>
      </c>
      <c r="H12" s="183">
        <v>5</v>
      </c>
      <c r="I12" s="183">
        <v>6</v>
      </c>
      <c r="J12" s="312">
        <v>7</v>
      </c>
      <c r="K12" s="312"/>
    </row>
    <row r="13" spans="2:11" s="48" customFormat="1" ht="18" customHeight="1">
      <c r="B13" s="172"/>
      <c r="C13" s="184" t="s">
        <v>60</v>
      </c>
      <c r="D13" s="185">
        <f>(F9+F10*D12)/D12</f>
        <v>1900000</v>
      </c>
      <c r="E13" s="185">
        <f>(F9+F10*(D12+E12))/E12</f>
        <v>1050000</v>
      </c>
      <c r="F13" s="185">
        <f>(F9+F10*(D12+E12+F12))/F12</f>
        <v>800000</v>
      </c>
      <c r="G13" s="185">
        <f>((F9+F10*(D12+E12+F12+G12))/G12)</f>
        <v>700000</v>
      </c>
      <c r="H13" s="185">
        <f>((F9+F10*(D12+E12+F12+G12+H12))/H12)</f>
        <v>660000</v>
      </c>
      <c r="I13" s="185">
        <f>(F9+F10*(D12+E12+F12+G12+H12+I12))/I12</f>
        <v>650000</v>
      </c>
      <c r="J13" s="311">
        <f>(F9+F10*(D12+E12+F12+G12+H12+I12+J12))/J12</f>
        <v>657142.8571428572</v>
      </c>
      <c r="K13" s="311"/>
    </row>
    <row r="14" spans="2:11" s="48" customFormat="1" ht="18" customHeight="1" hidden="1">
      <c r="B14" s="172"/>
      <c r="C14" s="10"/>
      <c r="D14" s="10"/>
      <c r="E14" s="10">
        <f aca="true" t="shared" si="0" ref="E14:J14">IF(E13&lt;D13,IF(F13&gt;E13,E12,0),0)</f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6</v>
      </c>
      <c r="J14" s="313">
        <f t="shared" si="0"/>
        <v>0</v>
      </c>
      <c r="K14" s="313"/>
    </row>
    <row r="15" spans="2:3" ht="15">
      <c r="B15" s="79"/>
      <c r="C15" s="5"/>
    </row>
    <row r="16" spans="2:6" ht="15">
      <c r="B16" s="79"/>
      <c r="C16" s="40"/>
      <c r="D16" s="49" t="s">
        <v>61</v>
      </c>
      <c r="E16" s="43">
        <f>MAX(D14:J14)</f>
        <v>6</v>
      </c>
      <c r="F16" s="40" t="s">
        <v>25</v>
      </c>
    </row>
    <row r="17" spans="2:6" ht="15">
      <c r="B17" s="79"/>
      <c r="C17" s="40"/>
      <c r="D17" s="49"/>
      <c r="E17" s="43"/>
      <c r="F17" s="40"/>
    </row>
    <row r="18" ht="15">
      <c r="B18" s="79"/>
    </row>
    <row r="19" spans="2:11" ht="15">
      <c r="B19" s="116" t="s">
        <v>38</v>
      </c>
      <c r="C19" s="86" t="s">
        <v>62</v>
      </c>
      <c r="D19" s="95">
        <v>10</v>
      </c>
      <c r="E19" s="86" t="s">
        <v>169</v>
      </c>
      <c r="F19" s="96">
        <f>D19/100</f>
        <v>0.1</v>
      </c>
      <c r="G19" s="52"/>
      <c r="H19" s="11"/>
      <c r="I19" s="11"/>
      <c r="J19" s="11"/>
      <c r="K19" s="11"/>
    </row>
    <row r="20" ht="15">
      <c r="B20" s="79"/>
    </row>
    <row r="21" spans="2:12" ht="21" customHeight="1">
      <c r="B21" s="181" t="s">
        <v>32</v>
      </c>
      <c r="C21" s="181" t="s">
        <v>63</v>
      </c>
      <c r="D21" s="181"/>
      <c r="E21" s="181"/>
      <c r="F21" s="181"/>
      <c r="G21" s="181"/>
      <c r="H21" s="181"/>
      <c r="I21" s="309"/>
      <c r="J21" s="310"/>
      <c r="K21" s="181" t="s">
        <v>170</v>
      </c>
      <c r="L21" s="7"/>
    </row>
    <row r="22" spans="2:12" ht="12.75">
      <c r="B22" s="7">
        <v>1</v>
      </c>
      <c r="C22" s="8">
        <f>F9</f>
        <v>1800000</v>
      </c>
      <c r="D22" s="186">
        <f aca="true" t="shared" si="1" ref="D22:D31">1/((1+$F$19)^B22)</f>
        <v>0.9090909090909091</v>
      </c>
      <c r="E22" s="8">
        <f aca="true" t="shared" si="2" ref="E22:E31">B22*$F$10</f>
        <v>100000</v>
      </c>
      <c r="F22" s="187">
        <f aca="true" t="shared" si="3" ref="F22:F31">D22*E22</f>
        <v>90909.09090909091</v>
      </c>
      <c r="G22" s="187">
        <f>F22</f>
        <v>90909.09090909091</v>
      </c>
      <c r="H22" s="187">
        <f aca="true" t="shared" si="4" ref="H22:H31">C22+G22</f>
        <v>1890909.0909090908</v>
      </c>
      <c r="I22" s="332">
        <f>D22</f>
        <v>0.9090909090909091</v>
      </c>
      <c r="J22" s="333"/>
      <c r="K22" s="187">
        <f aca="true" t="shared" si="5" ref="K22:K31">H22/I22</f>
        <v>2080000</v>
      </c>
      <c r="L22" s="7">
        <f>IF(K22&gt;K23,B22,B23)</f>
        <v>1</v>
      </c>
    </row>
    <row r="23" spans="2:12" ht="12.75">
      <c r="B23" s="7">
        <v>2</v>
      </c>
      <c r="C23" s="8">
        <f>C22</f>
        <v>1800000</v>
      </c>
      <c r="D23" s="186">
        <f t="shared" si="1"/>
        <v>0.8264462809917354</v>
      </c>
      <c r="E23" s="8">
        <f t="shared" si="2"/>
        <v>200000</v>
      </c>
      <c r="F23" s="187">
        <f t="shared" si="3"/>
        <v>165289.25619834708</v>
      </c>
      <c r="G23" s="187">
        <f aca="true" t="shared" si="6" ref="G23:G31">G22+F23</f>
        <v>256198.347107438</v>
      </c>
      <c r="H23" s="187">
        <f t="shared" si="4"/>
        <v>2056198.347107438</v>
      </c>
      <c r="I23" s="332">
        <f aca="true" t="shared" si="7" ref="I23:I31">I22+D23</f>
        <v>1.7355371900826446</v>
      </c>
      <c r="J23" s="333"/>
      <c r="K23" s="187">
        <f t="shared" si="5"/>
        <v>1184761.9047619046</v>
      </c>
      <c r="L23" s="7">
        <f aca="true" t="shared" si="8" ref="L23:L30">IF(K23&lt;K22,IF(K24&gt;K23,B23,0),0)</f>
        <v>0</v>
      </c>
    </row>
    <row r="24" spans="2:12" ht="12.75">
      <c r="B24" s="7">
        <v>3</v>
      </c>
      <c r="C24" s="8">
        <f>C23</f>
        <v>1800000</v>
      </c>
      <c r="D24" s="186">
        <f t="shared" si="1"/>
        <v>0.7513148009015775</v>
      </c>
      <c r="E24" s="8">
        <f t="shared" si="2"/>
        <v>300000</v>
      </c>
      <c r="F24" s="187">
        <f t="shared" si="3"/>
        <v>225394.44027047325</v>
      </c>
      <c r="G24" s="187">
        <f t="shared" si="6"/>
        <v>481592.78737791127</v>
      </c>
      <c r="H24" s="187">
        <f t="shared" si="4"/>
        <v>2281592.787377911</v>
      </c>
      <c r="I24" s="332">
        <f t="shared" si="7"/>
        <v>2.4868519909842224</v>
      </c>
      <c r="J24" s="333"/>
      <c r="K24" s="187">
        <f t="shared" si="5"/>
        <v>917462.2356495467</v>
      </c>
      <c r="L24" s="7">
        <f t="shared" si="8"/>
        <v>0</v>
      </c>
    </row>
    <row r="25" spans="2:12" ht="12.75">
      <c r="B25" s="7">
        <v>4</v>
      </c>
      <c r="C25" s="8">
        <f>C22</f>
        <v>1800000</v>
      </c>
      <c r="D25" s="186">
        <f t="shared" si="1"/>
        <v>0.6830134553650705</v>
      </c>
      <c r="E25" s="8">
        <f t="shared" si="2"/>
        <v>400000</v>
      </c>
      <c r="F25" s="187">
        <f t="shared" si="3"/>
        <v>273205.3821460282</v>
      </c>
      <c r="G25" s="187">
        <f t="shared" si="6"/>
        <v>754798.1695239395</v>
      </c>
      <c r="H25" s="187">
        <f t="shared" si="4"/>
        <v>2554798.1695239395</v>
      </c>
      <c r="I25" s="332">
        <f t="shared" si="7"/>
        <v>3.169865446349293</v>
      </c>
      <c r="J25" s="333"/>
      <c r="K25" s="187">
        <f t="shared" si="5"/>
        <v>805964.2318465848</v>
      </c>
      <c r="L25" s="7">
        <f t="shared" si="8"/>
        <v>0</v>
      </c>
    </row>
    <row r="26" spans="2:12" ht="12.75">
      <c r="B26" s="7">
        <v>5</v>
      </c>
      <c r="C26" s="8">
        <f>C22</f>
        <v>1800000</v>
      </c>
      <c r="D26" s="186">
        <f t="shared" si="1"/>
        <v>0.6209213230591549</v>
      </c>
      <c r="E26" s="8">
        <f t="shared" si="2"/>
        <v>500000</v>
      </c>
      <c r="F26" s="187">
        <f t="shared" si="3"/>
        <v>310460.66152957745</v>
      </c>
      <c r="G26" s="187">
        <f t="shared" si="6"/>
        <v>1065258.8310535168</v>
      </c>
      <c r="H26" s="187">
        <f t="shared" si="4"/>
        <v>2865258.831053517</v>
      </c>
      <c r="I26" s="332">
        <f t="shared" si="7"/>
        <v>3.790786769408448</v>
      </c>
      <c r="J26" s="333"/>
      <c r="K26" s="187">
        <f t="shared" si="5"/>
        <v>755848.0614568148</v>
      </c>
      <c r="L26" s="7">
        <f t="shared" si="8"/>
        <v>0</v>
      </c>
    </row>
    <row r="27" spans="2:12" ht="12.75">
      <c r="B27" s="7">
        <v>6</v>
      </c>
      <c r="C27" s="8">
        <f>C22</f>
        <v>1800000</v>
      </c>
      <c r="D27" s="186">
        <f t="shared" si="1"/>
        <v>0.5644739300537772</v>
      </c>
      <c r="E27" s="8">
        <f t="shared" si="2"/>
        <v>600000</v>
      </c>
      <c r="F27" s="187">
        <f t="shared" si="3"/>
        <v>338684.3580322663</v>
      </c>
      <c r="G27" s="187">
        <f t="shared" si="6"/>
        <v>1403943.1890857832</v>
      </c>
      <c r="H27" s="187">
        <f t="shared" si="4"/>
        <v>3203943.1890857834</v>
      </c>
      <c r="I27" s="332">
        <f t="shared" si="7"/>
        <v>4.355260699462225</v>
      </c>
      <c r="J27" s="333"/>
      <c r="K27" s="187">
        <f t="shared" si="5"/>
        <v>735649.0024767971</v>
      </c>
      <c r="L27" s="7">
        <f t="shared" si="8"/>
        <v>0</v>
      </c>
    </row>
    <row r="28" spans="2:12" ht="12.75">
      <c r="B28" s="7">
        <v>7</v>
      </c>
      <c r="C28" s="8">
        <f>C22</f>
        <v>1800000</v>
      </c>
      <c r="D28" s="186">
        <f t="shared" si="1"/>
        <v>0.5131581182307065</v>
      </c>
      <c r="E28" s="8">
        <f t="shared" si="2"/>
        <v>700000</v>
      </c>
      <c r="F28" s="187">
        <f t="shared" si="3"/>
        <v>359210.68276149454</v>
      </c>
      <c r="G28" s="187">
        <f t="shared" si="6"/>
        <v>1763153.8718472777</v>
      </c>
      <c r="H28" s="187">
        <f t="shared" si="4"/>
        <v>3563153.8718472775</v>
      </c>
      <c r="I28" s="332">
        <f t="shared" si="7"/>
        <v>4.868418817692932</v>
      </c>
      <c r="J28" s="333"/>
      <c r="K28" s="187">
        <f t="shared" si="5"/>
        <v>731891.4015569023</v>
      </c>
      <c r="L28" s="7">
        <f t="shared" si="8"/>
        <v>7</v>
      </c>
    </row>
    <row r="29" spans="2:12" ht="12.75">
      <c r="B29" s="7">
        <v>8</v>
      </c>
      <c r="C29" s="8">
        <f>C22</f>
        <v>1800000</v>
      </c>
      <c r="D29" s="186">
        <f t="shared" si="1"/>
        <v>0.46650738020973315</v>
      </c>
      <c r="E29" s="8">
        <f t="shared" si="2"/>
        <v>800000</v>
      </c>
      <c r="F29" s="187">
        <f t="shared" si="3"/>
        <v>373205.90416778653</v>
      </c>
      <c r="G29" s="187">
        <f t="shared" si="6"/>
        <v>2136359.776015064</v>
      </c>
      <c r="H29" s="187">
        <f t="shared" si="4"/>
        <v>3936359.776015064</v>
      </c>
      <c r="I29" s="332">
        <f t="shared" si="7"/>
        <v>5.334926197902665</v>
      </c>
      <c r="J29" s="333"/>
      <c r="K29" s="187">
        <f t="shared" si="5"/>
        <v>737847.0910361565</v>
      </c>
      <c r="L29" s="7">
        <f t="shared" si="8"/>
        <v>0</v>
      </c>
    </row>
    <row r="30" spans="2:12" ht="12.75">
      <c r="B30" s="7">
        <v>9</v>
      </c>
      <c r="C30" s="8">
        <f>C22</f>
        <v>1800000</v>
      </c>
      <c r="D30" s="186">
        <f t="shared" si="1"/>
        <v>0.42409761837248466</v>
      </c>
      <c r="E30" s="8">
        <f t="shared" si="2"/>
        <v>900000</v>
      </c>
      <c r="F30" s="187">
        <f t="shared" si="3"/>
        <v>381687.8565352362</v>
      </c>
      <c r="G30" s="187">
        <f t="shared" si="6"/>
        <v>2518047.6325503006</v>
      </c>
      <c r="H30" s="187">
        <f t="shared" si="4"/>
        <v>4318047.632550301</v>
      </c>
      <c r="I30" s="332">
        <f t="shared" si="7"/>
        <v>5.75902381627515</v>
      </c>
      <c r="J30" s="333"/>
      <c r="K30" s="187">
        <f t="shared" si="5"/>
        <v>749788.1186647271</v>
      </c>
      <c r="L30" s="7">
        <f t="shared" si="8"/>
        <v>0</v>
      </c>
    </row>
    <row r="31" spans="2:12" ht="12.75">
      <c r="B31" s="7">
        <v>10</v>
      </c>
      <c r="C31" s="8">
        <f>C22</f>
        <v>1800000</v>
      </c>
      <c r="D31" s="186">
        <f t="shared" si="1"/>
        <v>0.3855432894295315</v>
      </c>
      <c r="E31" s="8">
        <f t="shared" si="2"/>
        <v>1000000</v>
      </c>
      <c r="F31" s="187">
        <f t="shared" si="3"/>
        <v>385543.2894295315</v>
      </c>
      <c r="G31" s="187">
        <f t="shared" si="6"/>
        <v>2903590.921979832</v>
      </c>
      <c r="H31" s="187">
        <f t="shared" si="4"/>
        <v>4703590.9219798315</v>
      </c>
      <c r="I31" s="332">
        <f t="shared" si="7"/>
        <v>6.144567105704681</v>
      </c>
      <c r="J31" s="333"/>
      <c r="K31" s="187">
        <f t="shared" si="5"/>
        <v>765487.7619634047</v>
      </c>
      <c r="L31" s="7">
        <f>IF(K31&lt;K30,IF(#REF!&gt;K31,B31,0),0)</f>
        <v>0</v>
      </c>
    </row>
    <row r="32" spans="2:10" ht="15">
      <c r="B32" s="79"/>
      <c r="J32" s="9"/>
    </row>
    <row r="33" spans="7:11" ht="15">
      <c r="G33" s="40"/>
      <c r="H33" s="49" t="s">
        <v>64</v>
      </c>
      <c r="I33" s="43">
        <f>MAX(L22:L31)</f>
        <v>7</v>
      </c>
      <c r="K33" s="40" t="s">
        <v>25</v>
      </c>
    </row>
    <row r="34" spans="2:11" ht="30" customHeight="1" thickBot="1">
      <c r="B34" s="59"/>
      <c r="C34" s="59"/>
      <c r="D34" s="59"/>
      <c r="E34" s="59"/>
      <c r="F34" s="59"/>
      <c r="G34" s="168"/>
      <c r="H34" s="166"/>
      <c r="I34" s="167"/>
      <c r="J34" s="59"/>
      <c r="K34" s="168"/>
    </row>
    <row r="35" ht="13.5" thickTop="1"/>
  </sheetData>
  <mergeCells count="16">
    <mergeCell ref="I23:J23"/>
    <mergeCell ref="J13:K13"/>
    <mergeCell ref="J12:K12"/>
    <mergeCell ref="J14:K14"/>
    <mergeCell ref="B6:I6"/>
    <mergeCell ref="B7:I7"/>
    <mergeCell ref="I22:J22"/>
    <mergeCell ref="I21:J21"/>
    <mergeCell ref="I24:J24"/>
    <mergeCell ref="I25:J25"/>
    <mergeCell ref="I26:J26"/>
    <mergeCell ref="I31:J31"/>
    <mergeCell ref="I27:J27"/>
    <mergeCell ref="I28:J28"/>
    <mergeCell ref="I29:J29"/>
    <mergeCell ref="I30:J30"/>
  </mergeCells>
  <printOptions/>
  <pageMargins left="0.75" right="0.75" top="1" bottom="1" header="0.4921259845" footer="0.4921259845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13.00390625" style="1" customWidth="1"/>
    <col min="3" max="3" width="15.375" style="1" customWidth="1"/>
    <col min="4" max="4" width="12.625" style="1" customWidth="1"/>
    <col min="5" max="5" width="13.375" style="1" bestFit="1" customWidth="1"/>
    <col min="6" max="6" width="11.75390625" style="1" bestFit="1" customWidth="1"/>
    <col min="7" max="8" width="13.375" style="1" bestFit="1" customWidth="1"/>
    <col min="9" max="9" width="12.125" style="1" bestFit="1" customWidth="1"/>
    <col min="10" max="10" width="2.00390625" style="1" customWidth="1"/>
    <col min="11" max="11" width="13.00390625" style="1" customWidth="1"/>
    <col min="12" max="12" width="0" style="1" hidden="1" customWidth="1"/>
    <col min="13" max="16384" width="9.125" style="1" customWidth="1"/>
  </cols>
  <sheetData>
    <row r="2" spans="2:10" ht="15">
      <c r="B2" s="40" t="s">
        <v>172</v>
      </c>
      <c r="I2" s="5"/>
      <c r="J2" s="6"/>
    </row>
    <row r="3" spans="2:10" ht="23.25">
      <c r="B3" s="70" t="s">
        <v>65</v>
      </c>
      <c r="I3" s="5"/>
      <c r="J3" s="6"/>
    </row>
    <row r="4" spans="2:10" ht="14.25" customHeight="1">
      <c r="B4" s="70"/>
      <c r="I4" s="5"/>
      <c r="J4" s="6"/>
    </row>
    <row r="5" spans="3:8" ht="18" customHeight="1">
      <c r="C5" s="180"/>
      <c r="D5" s="180"/>
      <c r="E5" s="339" t="s">
        <v>66</v>
      </c>
      <c r="F5" s="339"/>
      <c r="G5" s="346" t="s">
        <v>67</v>
      </c>
      <c r="H5" s="347"/>
    </row>
    <row r="6" spans="2:8" ht="15.75" customHeight="1">
      <c r="B6" s="2"/>
      <c r="C6" s="180" t="s">
        <v>68</v>
      </c>
      <c r="D6" s="182" t="s">
        <v>69</v>
      </c>
      <c r="E6" s="180" t="s">
        <v>70</v>
      </c>
      <c r="F6" s="180" t="s">
        <v>71</v>
      </c>
      <c r="G6" s="180" t="s">
        <v>70</v>
      </c>
      <c r="H6" s="180" t="s">
        <v>71</v>
      </c>
    </row>
    <row r="7" spans="3:8" ht="15">
      <c r="C7" s="188">
        <v>1</v>
      </c>
      <c r="D7" s="188">
        <v>4</v>
      </c>
      <c r="E7" s="188">
        <v>14.2</v>
      </c>
      <c r="F7" s="188">
        <v>28.6</v>
      </c>
      <c r="G7" s="188">
        <v>4</v>
      </c>
      <c r="H7" s="188">
        <v>5</v>
      </c>
    </row>
    <row r="8" spans="3:8" ht="15">
      <c r="C8" s="188">
        <v>2</v>
      </c>
      <c r="D8" s="188">
        <v>6</v>
      </c>
      <c r="E8" s="188">
        <v>8.5</v>
      </c>
      <c r="F8" s="188">
        <v>18.3</v>
      </c>
      <c r="G8" s="188">
        <v>6</v>
      </c>
      <c r="H8" s="188">
        <v>7</v>
      </c>
    </row>
    <row r="9" spans="3:8" ht="15">
      <c r="C9" s="188">
        <v>3</v>
      </c>
      <c r="D9" s="188">
        <v>12</v>
      </c>
      <c r="E9" s="188">
        <v>4.3</v>
      </c>
      <c r="F9" s="188">
        <v>8.7</v>
      </c>
      <c r="G9" s="188">
        <v>12</v>
      </c>
      <c r="H9" s="188">
        <v>13</v>
      </c>
    </row>
    <row r="10" spans="3:8" ht="15">
      <c r="C10" s="188">
        <v>4</v>
      </c>
      <c r="D10" s="188">
        <v>20</v>
      </c>
      <c r="E10" s="188">
        <v>2.15</v>
      </c>
      <c r="F10" s="188">
        <v>5.15</v>
      </c>
      <c r="G10" s="188">
        <v>20</v>
      </c>
      <c r="H10" s="188">
        <v>21</v>
      </c>
    </row>
    <row r="11" spans="3:8" ht="15">
      <c r="C11" s="188">
        <v>5</v>
      </c>
      <c r="D11" s="188">
        <v>30</v>
      </c>
      <c r="E11" s="188">
        <v>1.4</v>
      </c>
      <c r="F11" s="188">
        <v>3.4</v>
      </c>
      <c r="G11" s="188">
        <v>30</v>
      </c>
      <c r="H11" s="188">
        <v>31</v>
      </c>
    </row>
    <row r="14" ht="15.75">
      <c r="B14" s="44" t="s">
        <v>184</v>
      </c>
    </row>
    <row r="15" spans="2:8" ht="15">
      <c r="B15" s="216" t="s">
        <v>175</v>
      </c>
      <c r="C15" s="214"/>
      <c r="D15" s="214"/>
      <c r="E15" s="214"/>
      <c r="F15" s="214"/>
      <c r="G15" s="214"/>
      <c r="H15" s="214"/>
    </row>
    <row r="16" ht="15">
      <c r="B16" s="215" t="s">
        <v>174</v>
      </c>
    </row>
    <row r="17" ht="15.75">
      <c r="B17" s="44"/>
    </row>
    <row r="18" spans="3:7" s="48" customFormat="1" ht="24.75" customHeight="1">
      <c r="C18" s="91"/>
      <c r="D18" s="100" t="s">
        <v>72</v>
      </c>
      <c r="E18" s="219">
        <v>65</v>
      </c>
      <c r="F18" s="218" t="s">
        <v>140</v>
      </c>
      <c r="G18" s="217">
        <f>E18*1000</f>
        <v>65000</v>
      </c>
    </row>
    <row r="19" spans="2:10" s="48" customFormat="1" ht="24.75" customHeight="1">
      <c r="B19" s="52"/>
      <c r="C19" s="95"/>
      <c r="D19" s="86" t="s">
        <v>73</v>
      </c>
      <c r="E19" s="88">
        <v>1</v>
      </c>
      <c r="F19" s="52"/>
      <c r="G19" s="95"/>
      <c r="H19" s="52"/>
      <c r="I19" s="52"/>
      <c r="J19" s="52"/>
    </row>
    <row r="20" spans="3:7" ht="15">
      <c r="C20" s="40"/>
      <c r="D20" s="40"/>
      <c r="E20" s="40"/>
      <c r="F20" s="40"/>
      <c r="G20" s="40"/>
    </row>
    <row r="21" spans="2:7" ht="15">
      <c r="B21" s="5"/>
      <c r="C21" s="43" t="s">
        <v>74</v>
      </c>
      <c r="D21" s="40"/>
      <c r="E21" s="40"/>
      <c r="F21" s="49" t="s">
        <v>75</v>
      </c>
      <c r="G21" s="43" t="s">
        <v>76</v>
      </c>
    </row>
    <row r="22" spans="2:7" ht="15">
      <c r="B22" s="5"/>
      <c r="C22" s="43"/>
      <c r="D22" s="40"/>
      <c r="E22" s="40"/>
      <c r="F22" s="49"/>
      <c r="G22" s="43"/>
    </row>
    <row r="23" spans="2:7" ht="17.25" customHeight="1">
      <c r="B23" s="5"/>
      <c r="C23" s="182" t="s">
        <v>5</v>
      </c>
      <c r="D23" s="225" t="s">
        <v>176</v>
      </c>
      <c r="E23" s="224"/>
      <c r="F23" s="182" t="s">
        <v>5</v>
      </c>
      <c r="G23" s="225" t="s">
        <v>176</v>
      </c>
    </row>
    <row r="24" spans="3:7" ht="15">
      <c r="C24" s="188">
        <v>1</v>
      </c>
      <c r="D24" s="222">
        <f>E7*E18*1000/100</f>
        <v>9230</v>
      </c>
      <c r="E24" s="40"/>
      <c r="F24" s="188">
        <v>1</v>
      </c>
      <c r="G24" s="223">
        <f>E18*1000/G7</f>
        <v>16250</v>
      </c>
    </row>
    <row r="25" spans="3:7" ht="15">
      <c r="C25" s="188">
        <v>2</v>
      </c>
      <c r="D25" s="222">
        <f>F7*E18*1000/100</f>
        <v>18590</v>
      </c>
      <c r="E25" s="40"/>
      <c r="F25" s="188">
        <v>2</v>
      </c>
      <c r="G25" s="223">
        <f>2*($E$18*1000-G24)/(C27+1-C24)</f>
        <v>24375</v>
      </c>
    </row>
    <row r="26" spans="3:7" ht="15">
      <c r="C26" s="188">
        <v>3</v>
      </c>
      <c r="D26" s="222">
        <f>F7*E18*1000/100</f>
        <v>18590</v>
      </c>
      <c r="E26" s="40"/>
      <c r="F26" s="188">
        <v>3</v>
      </c>
      <c r="G26" s="223">
        <f>2*(E18*1000-G24-G25)/(C27+1-C25)</f>
        <v>16250</v>
      </c>
    </row>
    <row r="27" spans="3:7" ht="15">
      <c r="C27" s="188">
        <v>4</v>
      </c>
      <c r="D27" s="222">
        <f>F7*E18*1000/100</f>
        <v>18590</v>
      </c>
      <c r="E27" s="40"/>
      <c r="F27" s="188">
        <v>4</v>
      </c>
      <c r="G27" s="223">
        <f>2*(E18*1000-G24-G25-G26)/(C27+1-C26)</f>
        <v>8125</v>
      </c>
    </row>
    <row r="28" spans="3:7" ht="4.5" customHeight="1">
      <c r="C28" s="40"/>
      <c r="D28" s="220"/>
      <c r="E28" s="40"/>
      <c r="F28" s="40"/>
      <c r="G28" s="221"/>
    </row>
    <row r="29" spans="3:7" ht="15">
      <c r="C29" s="49" t="s">
        <v>37</v>
      </c>
      <c r="D29" s="221">
        <f>SUM(D24:D27)</f>
        <v>65000</v>
      </c>
      <c r="E29" s="40"/>
      <c r="F29" s="49" t="s">
        <v>37</v>
      </c>
      <c r="G29" s="221">
        <f>SUM(G24:G27)</f>
        <v>65000</v>
      </c>
    </row>
    <row r="30" spans="2:11" ht="30" customHeight="1" thickBot="1"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ht="30" customHeight="1" thickTop="1"/>
    <row r="32" ht="15.75">
      <c r="B32" s="44" t="s">
        <v>9</v>
      </c>
    </row>
    <row r="33" spans="2:10" ht="15">
      <c r="B33" s="343" t="s">
        <v>180</v>
      </c>
      <c r="C33" s="343"/>
      <c r="D33" s="343"/>
      <c r="E33" s="343"/>
      <c r="F33" s="343"/>
      <c r="G33" s="343"/>
      <c r="H33" s="343"/>
      <c r="I33" s="343"/>
      <c r="J33" s="343"/>
    </row>
    <row r="34" spans="2:10" ht="15">
      <c r="B34" s="215" t="s">
        <v>177</v>
      </c>
      <c r="C34" s="215"/>
      <c r="D34" s="215"/>
      <c r="E34" s="215"/>
      <c r="F34" s="215"/>
      <c r="G34" s="215"/>
      <c r="H34" s="215"/>
      <c r="I34" s="215"/>
      <c r="J34" s="215"/>
    </row>
    <row r="35" spans="2:10" ht="15">
      <c r="B35" s="215" t="s">
        <v>178</v>
      </c>
      <c r="C35" s="215"/>
      <c r="D35" s="215"/>
      <c r="E35" s="215"/>
      <c r="F35" s="215"/>
      <c r="G35" s="215"/>
      <c r="H35" s="215"/>
      <c r="I35" s="215"/>
      <c r="J35" s="215"/>
    </row>
    <row r="36" spans="2:10" ht="15">
      <c r="B36" s="215" t="s">
        <v>179</v>
      </c>
      <c r="C36" s="215"/>
      <c r="D36" s="215"/>
      <c r="E36" s="215"/>
      <c r="F36" s="215"/>
      <c r="G36" s="215"/>
      <c r="H36" s="215"/>
      <c r="I36" s="215"/>
      <c r="J36" s="215"/>
    </row>
    <row r="37" ht="15.75">
      <c r="B37" s="44"/>
    </row>
    <row r="38" spans="4:9" ht="24.75" customHeight="1">
      <c r="D38" s="48"/>
      <c r="E38" s="100" t="s">
        <v>77</v>
      </c>
      <c r="F38" s="172">
        <v>1000</v>
      </c>
      <c r="G38" s="172" t="s">
        <v>140</v>
      </c>
      <c r="H38" s="94">
        <f>F38*1000</f>
        <v>1000000</v>
      </c>
      <c r="I38" s="172" t="s">
        <v>86</v>
      </c>
    </row>
    <row r="39" spans="4:9" ht="24.75" customHeight="1">
      <c r="D39" s="48"/>
      <c r="E39" s="100" t="s">
        <v>181</v>
      </c>
      <c r="F39" s="177">
        <v>5</v>
      </c>
      <c r="G39" s="91" t="s">
        <v>25</v>
      </c>
      <c r="H39" s="114"/>
      <c r="I39" s="172"/>
    </row>
    <row r="40" spans="4:9" ht="24.75" customHeight="1">
      <c r="D40" s="48"/>
      <c r="E40" s="100" t="s">
        <v>79</v>
      </c>
      <c r="F40" s="172">
        <v>25</v>
      </c>
      <c r="G40" s="91" t="s">
        <v>182</v>
      </c>
      <c r="H40" s="94">
        <f>F40*100</f>
        <v>2500</v>
      </c>
      <c r="I40" s="172" t="s">
        <v>106</v>
      </c>
    </row>
    <row r="41" spans="4:9" ht="24.75" customHeight="1">
      <c r="D41" s="48"/>
      <c r="E41" s="100" t="s">
        <v>80</v>
      </c>
      <c r="F41" s="172">
        <v>1000</v>
      </c>
      <c r="G41" s="91" t="s">
        <v>182</v>
      </c>
      <c r="H41" s="94">
        <v>3000</v>
      </c>
      <c r="I41" s="172" t="s">
        <v>106</v>
      </c>
    </row>
    <row r="42" spans="4:9" ht="24.75" customHeight="1">
      <c r="D42" s="48"/>
      <c r="E42" s="80" t="s">
        <v>81</v>
      </c>
      <c r="F42" s="227"/>
      <c r="G42" s="228"/>
      <c r="H42" s="163">
        <v>4000</v>
      </c>
      <c r="I42" s="172" t="s">
        <v>183</v>
      </c>
    </row>
    <row r="43" spans="2:9" ht="24.75" customHeight="1">
      <c r="B43" s="3"/>
      <c r="C43" s="3"/>
      <c r="D43" s="52"/>
      <c r="E43" s="86" t="s">
        <v>78</v>
      </c>
      <c r="F43" s="173"/>
      <c r="G43" s="173"/>
      <c r="H43" s="230">
        <f>H40+H41+H42*3</f>
        <v>17500</v>
      </c>
      <c r="I43" s="229" t="s">
        <v>86</v>
      </c>
    </row>
    <row r="44" spans="3:7" ht="15">
      <c r="C44" s="40"/>
      <c r="D44" s="40"/>
      <c r="E44" s="40"/>
      <c r="F44" s="40"/>
      <c r="G44" s="40"/>
    </row>
    <row r="45" spans="3:7" ht="18" customHeight="1">
      <c r="C45" s="180" t="s">
        <v>5</v>
      </c>
      <c r="D45" s="183" t="s">
        <v>82</v>
      </c>
      <c r="E45" s="180" t="s">
        <v>83</v>
      </c>
      <c r="F45" s="339" t="s">
        <v>84</v>
      </c>
      <c r="G45" s="339"/>
    </row>
    <row r="46" spans="3:7" ht="15">
      <c r="C46" s="188">
        <v>1</v>
      </c>
      <c r="D46" s="189">
        <f>H40</f>
        <v>2500</v>
      </c>
      <c r="E46" s="189">
        <f>$H$38*D46/$H$43</f>
        <v>142857.14285714287</v>
      </c>
      <c r="F46" s="345">
        <f>H38</f>
        <v>1000000</v>
      </c>
      <c r="G46" s="345"/>
    </row>
    <row r="47" spans="3:7" ht="15">
      <c r="C47" s="188">
        <v>2</v>
      </c>
      <c r="D47" s="189">
        <f>H41</f>
        <v>3000</v>
      </c>
      <c r="E47" s="189">
        <f>$H$38*D47/$H$43</f>
        <v>171428.57142857142</v>
      </c>
      <c r="F47" s="345">
        <f>F46-E46</f>
        <v>857142.8571428572</v>
      </c>
      <c r="G47" s="345"/>
    </row>
    <row r="48" spans="3:7" ht="15">
      <c r="C48" s="188">
        <v>3</v>
      </c>
      <c r="D48" s="189">
        <f>H42</f>
        <v>4000</v>
      </c>
      <c r="E48" s="189">
        <f>$H$38*D48/$H$43</f>
        <v>228571.42857142858</v>
      </c>
      <c r="F48" s="345">
        <f>F47-E47</f>
        <v>685714.2857142857</v>
      </c>
      <c r="G48" s="345"/>
    </row>
    <row r="49" spans="3:7" ht="15">
      <c r="C49" s="188">
        <v>4</v>
      </c>
      <c r="D49" s="189">
        <f>H42</f>
        <v>4000</v>
      </c>
      <c r="E49" s="189">
        <f>$H$38*D49/$H$43</f>
        <v>228571.42857142858</v>
      </c>
      <c r="F49" s="345">
        <f>F48-E48</f>
        <v>457142.8571428571</v>
      </c>
      <c r="G49" s="345"/>
    </row>
    <row r="50" spans="3:7" ht="15">
      <c r="C50" s="188">
        <v>5</v>
      </c>
      <c r="D50" s="189">
        <f>H42</f>
        <v>4000</v>
      </c>
      <c r="E50" s="189">
        <f>$H$38*D50/$H$43</f>
        <v>228571.42857142858</v>
      </c>
      <c r="F50" s="345">
        <f>F49-E49</f>
        <v>228571.42857142852</v>
      </c>
      <c r="G50" s="345"/>
    </row>
    <row r="51" spans="3:7" ht="15">
      <c r="C51" s="188" t="s">
        <v>85</v>
      </c>
      <c r="D51" s="189">
        <f>SUM(D46:D50)</f>
        <v>17500</v>
      </c>
      <c r="E51" s="189">
        <f>SUM(E46:E50)</f>
        <v>1000000.0000000002</v>
      </c>
      <c r="F51" s="345">
        <f>F50-E50</f>
        <v>0</v>
      </c>
      <c r="G51" s="345"/>
    </row>
    <row r="52" spans="2:11" ht="30" customHeight="1" thickBot="1"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ht="30" customHeight="1" thickTop="1"/>
    <row r="54" ht="15.75">
      <c r="B54" s="44" t="s">
        <v>14</v>
      </c>
    </row>
    <row r="55" spans="2:8" ht="15">
      <c r="B55" s="216" t="s">
        <v>187</v>
      </c>
      <c r="C55" s="214"/>
      <c r="D55" s="214"/>
      <c r="E55" s="214"/>
      <c r="F55" s="214"/>
      <c r="G55" s="214"/>
      <c r="H55" s="214"/>
    </row>
    <row r="56" ht="15">
      <c r="B56" s="215" t="s">
        <v>185</v>
      </c>
    </row>
    <row r="57" ht="12.75">
      <c r="B57" s="2"/>
    </row>
    <row r="58" spans="2:8" s="48" customFormat="1" ht="19.5" customHeight="1">
      <c r="B58" s="231"/>
      <c r="C58" s="91"/>
      <c r="D58" s="100" t="s">
        <v>77</v>
      </c>
      <c r="E58" s="232">
        <v>2500</v>
      </c>
      <c r="F58" s="233" t="s">
        <v>140</v>
      </c>
      <c r="G58" s="94">
        <f>E58*1000</f>
        <v>2500000</v>
      </c>
      <c r="H58" s="91" t="s">
        <v>86</v>
      </c>
    </row>
    <row r="59" spans="3:7" s="48" customFormat="1" ht="19.5" customHeight="1">
      <c r="C59" s="91"/>
      <c r="D59" s="100" t="s">
        <v>188</v>
      </c>
      <c r="E59" s="237">
        <v>6</v>
      </c>
      <c r="F59" s="111"/>
      <c r="G59" s="114"/>
    </row>
    <row r="60" spans="3:8" s="48" customFormat="1" ht="19.5" customHeight="1">
      <c r="C60" s="91"/>
      <c r="D60" s="100"/>
      <c r="E60" s="114"/>
      <c r="F60" s="114"/>
      <c r="G60" s="111"/>
      <c r="H60" s="91"/>
    </row>
    <row r="61" spans="2:8" s="48" customFormat="1" ht="19.5" customHeight="1">
      <c r="B61" s="83" t="s">
        <v>88</v>
      </c>
      <c r="E61" s="235">
        <v>70</v>
      </c>
      <c r="F61" s="236" t="s">
        <v>140</v>
      </c>
      <c r="G61" s="177">
        <f>E61*1000</f>
        <v>70000</v>
      </c>
      <c r="H61" s="91"/>
    </row>
    <row r="62" spans="2:9" s="48" customFormat="1" ht="19.5" customHeight="1">
      <c r="B62" s="88" t="s">
        <v>89</v>
      </c>
      <c r="C62" s="52"/>
      <c r="D62" s="90">
        <v>6</v>
      </c>
      <c r="E62" s="90" t="s">
        <v>13</v>
      </c>
      <c r="F62" s="52"/>
      <c r="G62" s="45"/>
      <c r="H62" s="52"/>
      <c r="I62" s="52"/>
    </row>
    <row r="63" spans="3:7" ht="15">
      <c r="C63" s="170"/>
      <c r="D63" s="170"/>
      <c r="E63" s="190"/>
      <c r="F63" s="191"/>
      <c r="G63" s="170"/>
    </row>
    <row r="64" spans="4:7" ht="15">
      <c r="D64" s="40"/>
      <c r="E64" s="40"/>
      <c r="F64" s="40"/>
      <c r="G64" s="40"/>
    </row>
    <row r="65" spans="2:7" ht="18.75" customHeight="1">
      <c r="B65" s="43" t="s">
        <v>31</v>
      </c>
      <c r="C65" s="180" t="s">
        <v>5</v>
      </c>
      <c r="D65" s="180" t="s">
        <v>83</v>
      </c>
      <c r="E65" s="339" t="s">
        <v>84</v>
      </c>
      <c r="F65" s="339"/>
      <c r="G65" s="40"/>
    </row>
    <row r="66" spans="3:7" ht="15">
      <c r="C66" s="188">
        <v>1</v>
      </c>
      <c r="D66" s="75">
        <f>(G58-(E59*(E59-1)*G61)/2)/E59</f>
        <v>241666.66666666666</v>
      </c>
      <c r="E66" s="340">
        <f>$G$58-D66</f>
        <v>2258333.3333333335</v>
      </c>
      <c r="F66" s="341"/>
      <c r="G66" s="40"/>
    </row>
    <row r="67" spans="3:7" ht="15">
      <c r="C67" s="188">
        <v>2</v>
      </c>
      <c r="D67" s="75">
        <f>D66+(C67-C66)*$G$61</f>
        <v>311666.6666666666</v>
      </c>
      <c r="E67" s="340">
        <f>E66-D67</f>
        <v>1946666.666666667</v>
      </c>
      <c r="F67" s="341"/>
      <c r="G67" s="40"/>
    </row>
    <row r="68" spans="3:7" ht="15">
      <c r="C68" s="188">
        <v>3</v>
      </c>
      <c r="D68" s="75">
        <f>D67+(C68-C67)*$G$61</f>
        <v>381666.6666666666</v>
      </c>
      <c r="E68" s="340">
        <f>E67-D68</f>
        <v>1565000.0000000005</v>
      </c>
      <c r="F68" s="341"/>
      <c r="G68" s="40"/>
    </row>
    <row r="69" spans="3:7" ht="15">
      <c r="C69" s="188">
        <v>4</v>
      </c>
      <c r="D69" s="75">
        <f>D68+(C69-C68)*$G$61</f>
        <v>451666.6666666666</v>
      </c>
      <c r="E69" s="340">
        <f>E68-D69</f>
        <v>1113333.333333334</v>
      </c>
      <c r="F69" s="341"/>
      <c r="G69" s="40"/>
    </row>
    <row r="70" spans="3:7" ht="15">
      <c r="C70" s="188">
        <v>5</v>
      </c>
      <c r="D70" s="75">
        <f>D69+(C70-C69)*$G$61</f>
        <v>521666.6666666666</v>
      </c>
      <c r="E70" s="340">
        <f>E69-D70</f>
        <v>591666.6666666673</v>
      </c>
      <c r="F70" s="341"/>
      <c r="G70" s="40"/>
    </row>
    <row r="71" spans="3:7" ht="15">
      <c r="C71" s="188">
        <v>6</v>
      </c>
      <c r="D71" s="75">
        <f>D70+(C71-C70)*$G$61</f>
        <v>591666.6666666666</v>
      </c>
      <c r="E71" s="340">
        <f>E70-D71</f>
        <v>0</v>
      </c>
      <c r="F71" s="341"/>
      <c r="G71" s="40"/>
    </row>
    <row r="72" spans="3:7" ht="15">
      <c r="C72" s="188" t="s">
        <v>37</v>
      </c>
      <c r="D72" s="75">
        <f>SUM(D66:D71)</f>
        <v>2499999.9999999995</v>
      </c>
      <c r="E72" s="341"/>
      <c r="F72" s="341"/>
      <c r="G72" s="40"/>
    </row>
    <row r="73" spans="3:7" ht="15">
      <c r="C73" s="190"/>
      <c r="D73" s="193"/>
      <c r="E73" s="194"/>
      <c r="F73" s="194"/>
      <c r="G73" s="40"/>
    </row>
    <row r="74" spans="4:7" ht="15">
      <c r="D74" s="40"/>
      <c r="E74" s="342"/>
      <c r="F74" s="342"/>
      <c r="G74" s="40"/>
    </row>
    <row r="75" spans="2:7" ht="18.75" customHeight="1">
      <c r="B75" s="43" t="s">
        <v>38</v>
      </c>
      <c r="C75" s="180" t="s">
        <v>5</v>
      </c>
      <c r="D75" s="180" t="s">
        <v>83</v>
      </c>
      <c r="E75" s="339" t="s">
        <v>84</v>
      </c>
      <c r="F75" s="339"/>
      <c r="G75" s="40"/>
    </row>
    <row r="76" spans="3:7" ht="15">
      <c r="C76" s="188">
        <v>1</v>
      </c>
      <c r="D76" s="74">
        <f>(G58*D62/100)/((1+D62/100)^(6)-1)</f>
        <v>358406.5711872382</v>
      </c>
      <c r="E76" s="340">
        <f>G58-D76</f>
        <v>2141593.428812762</v>
      </c>
      <c r="F76" s="341"/>
      <c r="G76" s="40"/>
    </row>
    <row r="77" spans="3:7" ht="15">
      <c r="C77" s="188">
        <v>2</v>
      </c>
      <c r="D77" s="74">
        <f>$D$76*((1+$D$62/100)^(C77-$C$76))</f>
        <v>379910.9654584725</v>
      </c>
      <c r="E77" s="340">
        <f>E76-D77</f>
        <v>1761682.4633542893</v>
      </c>
      <c r="F77" s="341"/>
      <c r="G77" s="40"/>
    </row>
    <row r="78" spans="3:7" ht="15">
      <c r="C78" s="188">
        <v>3</v>
      </c>
      <c r="D78" s="74">
        <f>$D$76*((1+$D$62/100)^(C78-$C$76))</f>
        <v>402705.6233859809</v>
      </c>
      <c r="E78" s="340">
        <f>E77-D78</f>
        <v>1358976.8399683083</v>
      </c>
      <c r="F78" s="341"/>
      <c r="G78" s="40"/>
    </row>
    <row r="79" spans="3:7" ht="15">
      <c r="C79" s="188">
        <v>4</v>
      </c>
      <c r="D79" s="74">
        <f>$D$76*((1+$D$62/100)^(C79-$C$76))</f>
        <v>426867.9607891398</v>
      </c>
      <c r="E79" s="340">
        <f>E78-D79</f>
        <v>932108.8791791685</v>
      </c>
      <c r="F79" s="341"/>
      <c r="G79" s="40"/>
    </row>
    <row r="80" spans="3:7" ht="15">
      <c r="C80" s="188">
        <v>5</v>
      </c>
      <c r="D80" s="74">
        <f>$D$76*((1+$D$62/100)^(C80-$C$76))</f>
        <v>452480.0384364882</v>
      </c>
      <c r="E80" s="340">
        <f>E79-D80</f>
        <v>479628.8407426803</v>
      </c>
      <c r="F80" s="341"/>
      <c r="G80" s="40"/>
    </row>
    <row r="81" spans="3:7" ht="15">
      <c r="C81" s="188">
        <v>6</v>
      </c>
      <c r="D81" s="74">
        <f>$D$76*((1+$D$62/100)^(C81-$C$76))</f>
        <v>479628.84074267757</v>
      </c>
      <c r="E81" s="340">
        <f>E80-D81</f>
        <v>2.735760062932968E-09</v>
      </c>
      <c r="F81" s="341"/>
      <c r="G81" s="40"/>
    </row>
    <row r="82" spans="3:7" ht="15">
      <c r="C82" s="188" t="s">
        <v>37</v>
      </c>
      <c r="D82" s="75">
        <f>SUM(D76:D81)</f>
        <v>2499999.999999997</v>
      </c>
      <c r="E82" s="341"/>
      <c r="F82" s="341"/>
      <c r="G82" s="40"/>
    </row>
    <row r="83" spans="2:11" ht="30" customHeight="1" thickBot="1">
      <c r="B83" s="59"/>
      <c r="C83" s="138"/>
      <c r="D83" s="139"/>
      <c r="E83" s="195"/>
      <c r="F83" s="195"/>
      <c r="G83" s="59"/>
      <c r="H83" s="59"/>
      <c r="I83" s="59"/>
      <c r="J83" s="59"/>
      <c r="K83" s="59"/>
    </row>
    <row r="84" spans="2:11" ht="30" customHeight="1" thickTop="1">
      <c r="B84" s="11"/>
      <c r="C84" s="12"/>
      <c r="D84" s="14"/>
      <c r="E84" s="15"/>
      <c r="F84" s="15"/>
      <c r="G84" s="11"/>
      <c r="H84" s="11"/>
      <c r="I84" s="11"/>
      <c r="J84" s="11"/>
      <c r="K84" s="11"/>
    </row>
    <row r="85" spans="2:6" ht="15" customHeight="1">
      <c r="B85" s="44" t="s">
        <v>21</v>
      </c>
      <c r="C85" s="12"/>
      <c r="D85" s="14"/>
      <c r="E85" s="15"/>
      <c r="F85" s="15"/>
    </row>
    <row r="86" spans="2:9" ht="15" customHeight="1">
      <c r="B86" s="319" t="s">
        <v>186</v>
      </c>
      <c r="C86" s="319"/>
      <c r="D86" s="319"/>
      <c r="E86" s="319"/>
      <c r="F86" s="319"/>
      <c r="G86" s="319"/>
      <c r="H86" s="319"/>
      <c r="I86" s="319"/>
    </row>
    <row r="87" spans="2:9" ht="15" customHeight="1">
      <c r="B87" s="240" t="s">
        <v>189</v>
      </c>
      <c r="C87" s="241"/>
      <c r="D87" s="241"/>
      <c r="E87" s="241"/>
      <c r="F87" s="241"/>
      <c r="G87" s="241"/>
      <c r="H87" s="241"/>
      <c r="I87" s="241"/>
    </row>
    <row r="88" spans="2:6" ht="15" customHeight="1">
      <c r="B88" s="44"/>
      <c r="C88" s="12"/>
      <c r="D88" s="14"/>
      <c r="E88" s="15"/>
      <c r="F88" s="15"/>
    </row>
    <row r="89" spans="2:8" ht="19.5" customHeight="1">
      <c r="B89" s="48"/>
      <c r="C89" s="91"/>
      <c r="D89" s="100" t="s">
        <v>77</v>
      </c>
      <c r="E89" s="232">
        <v>2500</v>
      </c>
      <c r="F89" s="242" t="s">
        <v>140</v>
      </c>
      <c r="G89" s="177">
        <f>E89*1000</f>
        <v>2500000</v>
      </c>
      <c r="H89" s="91" t="s">
        <v>86</v>
      </c>
    </row>
    <row r="90" spans="2:8" ht="19.5" customHeight="1">
      <c r="B90" s="231"/>
      <c r="C90" s="91"/>
      <c r="D90" s="100" t="s">
        <v>87</v>
      </c>
      <c r="E90" s="111">
        <v>6</v>
      </c>
      <c r="F90" s="111" t="s">
        <v>25</v>
      </c>
      <c r="G90" s="243"/>
      <c r="H90" s="48"/>
    </row>
    <row r="91" spans="2:8" ht="19.5" customHeight="1">
      <c r="B91" s="231"/>
      <c r="C91" s="91"/>
      <c r="D91" s="100"/>
      <c r="E91" s="114"/>
      <c r="F91" s="114"/>
      <c r="G91" s="234"/>
      <c r="H91" s="91"/>
    </row>
    <row r="92" spans="2:9" ht="19.5" customHeight="1">
      <c r="B92" s="239"/>
      <c r="C92" s="95"/>
      <c r="D92" s="86" t="s">
        <v>90</v>
      </c>
      <c r="E92" s="244">
        <v>70</v>
      </c>
      <c r="F92" s="245" t="s">
        <v>140</v>
      </c>
      <c r="G92" s="178">
        <f>E92*1000</f>
        <v>70000</v>
      </c>
      <c r="H92" s="95" t="s">
        <v>86</v>
      </c>
      <c r="I92" s="3"/>
    </row>
    <row r="93" spans="2:7" ht="15">
      <c r="B93" s="2"/>
      <c r="C93" s="170"/>
      <c r="D93" s="170"/>
      <c r="E93" s="190"/>
      <c r="F93" s="191"/>
      <c r="G93" s="170"/>
    </row>
    <row r="94" spans="2:7" ht="18.75" customHeight="1">
      <c r="B94" s="2"/>
      <c r="C94" s="180" t="s">
        <v>5</v>
      </c>
      <c r="D94" s="180" t="s">
        <v>83</v>
      </c>
      <c r="E94" s="339" t="s">
        <v>84</v>
      </c>
      <c r="F94" s="339"/>
      <c r="G94" s="170"/>
    </row>
    <row r="95" spans="2:6" ht="15">
      <c r="B95" s="2"/>
      <c r="C95" s="192">
        <v>1</v>
      </c>
      <c r="D95" s="205">
        <f>D96+$G$92</f>
        <v>591666.6666666666</v>
      </c>
      <c r="E95" s="336">
        <f>E96-D95</f>
        <v>0</v>
      </c>
      <c r="F95" s="336"/>
    </row>
    <row r="96" spans="2:6" ht="15">
      <c r="B96" s="2"/>
      <c r="C96" s="192">
        <v>2</v>
      </c>
      <c r="D96" s="205">
        <f>D97+$G$92</f>
        <v>521666.6666666666</v>
      </c>
      <c r="E96" s="336">
        <f>E97-D96</f>
        <v>591666.6666666673</v>
      </c>
      <c r="F96" s="336"/>
    </row>
    <row r="97" spans="2:6" ht="15">
      <c r="B97" s="2"/>
      <c r="C97" s="192">
        <v>3</v>
      </c>
      <c r="D97" s="205">
        <f>D98+$G$92</f>
        <v>451666.6666666666</v>
      </c>
      <c r="E97" s="336">
        <f>E98-D97</f>
        <v>1113333.333333334</v>
      </c>
      <c r="F97" s="336"/>
    </row>
    <row r="98" spans="2:6" ht="15">
      <c r="B98" s="2"/>
      <c r="C98" s="188">
        <v>4</v>
      </c>
      <c r="D98" s="205">
        <f>D99+$G$92</f>
        <v>381666.6666666666</v>
      </c>
      <c r="E98" s="336">
        <f>E99-D98</f>
        <v>1565000.0000000005</v>
      </c>
      <c r="F98" s="336"/>
    </row>
    <row r="99" spans="2:6" ht="15">
      <c r="B99" s="2"/>
      <c r="C99" s="188">
        <v>5</v>
      </c>
      <c r="D99" s="205">
        <f>D100+$G$92</f>
        <v>311666.6666666666</v>
      </c>
      <c r="E99" s="336">
        <f>E100-D99</f>
        <v>1946666.666666667</v>
      </c>
      <c r="F99" s="336"/>
    </row>
    <row r="100" spans="2:6" ht="15">
      <c r="B100" s="2"/>
      <c r="C100" s="188">
        <v>6</v>
      </c>
      <c r="D100" s="205">
        <f>(G89-(E90*(E90-1)*G92)/2)/E90</f>
        <v>241666.66666666666</v>
      </c>
      <c r="E100" s="336">
        <f>G89-D100</f>
        <v>2258333.3333333335</v>
      </c>
      <c r="F100" s="336"/>
    </row>
    <row r="101" spans="2:7" ht="15">
      <c r="B101" s="2"/>
      <c r="C101" s="192" t="s">
        <v>37</v>
      </c>
      <c r="D101" s="205">
        <f>SUM(D95:D100)</f>
        <v>2499999.9999999995</v>
      </c>
      <c r="E101" s="314"/>
      <c r="F101" s="315"/>
      <c r="G101" s="170"/>
    </row>
    <row r="102" spans="2:11" ht="30" customHeight="1" thickBot="1">
      <c r="B102" s="198"/>
      <c r="C102" s="199"/>
      <c r="D102" s="59"/>
      <c r="E102" s="138"/>
      <c r="F102" s="199"/>
      <c r="G102" s="59"/>
      <c r="H102" s="59"/>
      <c r="I102" s="59"/>
      <c r="J102" s="59"/>
      <c r="K102" s="59"/>
    </row>
    <row r="103" spans="2:7" ht="30" customHeight="1" thickTop="1">
      <c r="B103" s="2"/>
      <c r="C103" s="13"/>
      <c r="D103" s="11"/>
      <c r="E103" s="12"/>
      <c r="F103" s="13"/>
      <c r="G103" s="11"/>
    </row>
    <row r="104" spans="2:7" ht="15.75">
      <c r="B104" s="44" t="s">
        <v>22</v>
      </c>
      <c r="G104" s="11"/>
    </row>
    <row r="105" spans="2:9" ht="15" customHeight="1">
      <c r="B105" s="319" t="s">
        <v>190</v>
      </c>
      <c r="C105" s="319"/>
      <c r="D105" s="319"/>
      <c r="E105" s="319"/>
      <c r="F105" s="319"/>
      <c r="G105" s="319"/>
      <c r="H105" s="319"/>
      <c r="I105" s="319"/>
    </row>
    <row r="106" spans="2:7" ht="15">
      <c r="B106" s="215" t="s">
        <v>191</v>
      </c>
      <c r="C106" s="40"/>
      <c r="D106" s="40"/>
      <c r="E106" s="40"/>
      <c r="F106" s="40"/>
      <c r="G106" s="170"/>
    </row>
    <row r="107" spans="2:7" ht="15.75">
      <c r="B107" s="44"/>
      <c r="C107" s="191"/>
      <c r="D107" s="40"/>
      <c r="E107" s="49"/>
      <c r="F107" s="200"/>
      <c r="G107" s="170"/>
    </row>
    <row r="108" spans="2:9" s="48" customFormat="1" ht="19.5" customHeight="1">
      <c r="B108" s="246"/>
      <c r="C108" s="81"/>
      <c r="D108" s="91"/>
      <c r="E108" s="100" t="s">
        <v>77</v>
      </c>
      <c r="F108" s="53">
        <v>750</v>
      </c>
      <c r="G108" s="247" t="s">
        <v>140</v>
      </c>
      <c r="H108" s="163">
        <f>F108*1000</f>
        <v>750000</v>
      </c>
      <c r="I108" s="228" t="s">
        <v>86</v>
      </c>
    </row>
    <row r="109" spans="2:8" s="48" customFormat="1" ht="19.5" customHeight="1">
      <c r="B109" s="246"/>
      <c r="C109" s="81"/>
      <c r="D109" s="228"/>
      <c r="E109" s="80" t="s">
        <v>87</v>
      </c>
      <c r="F109" s="81">
        <v>6</v>
      </c>
      <c r="G109" s="81" t="s">
        <v>25</v>
      </c>
      <c r="H109" s="114"/>
    </row>
    <row r="110" spans="2:9" s="48" customFormat="1" ht="19.5" customHeight="1">
      <c r="B110" s="252"/>
      <c r="C110" s="90"/>
      <c r="D110" s="95"/>
      <c r="E110" s="86" t="s">
        <v>91</v>
      </c>
      <c r="F110" s="46">
        <v>50</v>
      </c>
      <c r="G110" s="248" t="s">
        <v>140</v>
      </c>
      <c r="H110" s="87">
        <f>F110*1000</f>
        <v>50000</v>
      </c>
      <c r="I110" s="95" t="s">
        <v>86</v>
      </c>
    </row>
    <row r="111" spans="2:7" ht="15.75">
      <c r="B111" s="44"/>
      <c r="C111" s="191"/>
      <c r="D111" s="170"/>
      <c r="E111" s="190"/>
      <c r="F111" s="191"/>
      <c r="G111" s="170"/>
    </row>
    <row r="112" spans="2:7" ht="15.75">
      <c r="B112" s="44"/>
      <c r="C112" s="201" t="s">
        <v>92</v>
      </c>
      <c r="D112" s="249">
        <f>1-(H110/H108)^(1/F109)</f>
        <v>0.36322678052682944</v>
      </c>
      <c r="E112" s="190"/>
      <c r="F112" s="191"/>
      <c r="G112" s="170"/>
    </row>
    <row r="113" spans="2:7" ht="15.75">
      <c r="B113" s="44"/>
      <c r="C113" s="191"/>
      <c r="D113" s="170"/>
      <c r="E113" s="190"/>
      <c r="F113" s="191"/>
      <c r="G113" s="170"/>
    </row>
    <row r="114" spans="2:7" ht="19.5" customHeight="1">
      <c r="B114" s="44"/>
      <c r="C114" s="251" t="s">
        <v>5</v>
      </c>
      <c r="D114" s="251" t="s">
        <v>83</v>
      </c>
      <c r="E114" s="338" t="s">
        <v>84</v>
      </c>
      <c r="F114" s="338"/>
      <c r="G114" s="170"/>
    </row>
    <row r="115" spans="2:7" ht="15.75">
      <c r="B115" s="44"/>
      <c r="C115" s="196">
        <v>1</v>
      </c>
      <c r="D115" s="205">
        <f>D112*H108</f>
        <v>272420.08539512206</v>
      </c>
      <c r="E115" s="336">
        <f>H108-D115</f>
        <v>477579.91460487794</v>
      </c>
      <c r="F115" s="336"/>
      <c r="G115" s="170"/>
    </row>
    <row r="116" spans="2:7" ht="15.75">
      <c r="B116" s="44"/>
      <c r="C116" s="196">
        <v>2</v>
      </c>
      <c r="D116" s="205">
        <f>(1-$D$112)^(C116-$C$115)*$H$108*$D$112</f>
        <v>173469.81482620793</v>
      </c>
      <c r="E116" s="336">
        <f>E115-D116</f>
        <v>304110.09977867</v>
      </c>
      <c r="F116" s="336"/>
      <c r="G116" s="170"/>
    </row>
    <row r="117" spans="2:7" ht="15.75">
      <c r="B117" s="44"/>
      <c r="C117" s="196">
        <v>3</v>
      </c>
      <c r="D117" s="205">
        <f>(1-$D$112)^(C117-$C$115)*$H$108*$D$112</f>
        <v>110460.93246829917</v>
      </c>
      <c r="E117" s="336">
        <f>E116-D117</f>
        <v>193649.16731037083</v>
      </c>
      <c r="F117" s="336"/>
      <c r="G117" s="170"/>
    </row>
    <row r="118" spans="2:7" ht="15">
      <c r="B118" s="40"/>
      <c r="C118" s="196">
        <v>4</v>
      </c>
      <c r="D118" s="205">
        <f>(1-$D$112)^(C118-$C$115)*$H$108*$D$112</f>
        <v>70338.56359384734</v>
      </c>
      <c r="E118" s="336">
        <f>E117-D118</f>
        <v>123310.60371652349</v>
      </c>
      <c r="F118" s="336"/>
      <c r="G118" s="40"/>
    </row>
    <row r="119" spans="2:7" ht="15">
      <c r="B119" s="40"/>
      <c r="C119" s="196">
        <v>5</v>
      </c>
      <c r="D119" s="205">
        <f>(1-$D$112)^(C119-$C$115)*$H$108*$D$112</f>
        <v>44789.71359277252</v>
      </c>
      <c r="E119" s="337">
        <f>E118-D119</f>
        <v>78520.89012375097</v>
      </c>
      <c r="F119" s="337"/>
      <c r="G119" s="40"/>
    </row>
    <row r="120" spans="2:7" ht="15.75">
      <c r="B120" s="40"/>
      <c r="C120" s="196">
        <v>6</v>
      </c>
      <c r="D120" s="205">
        <f>(1-$D$112)^(C120-$C$115)*$H$108*$D$112</f>
        <v>28520.89012375098</v>
      </c>
      <c r="E120" s="344">
        <f>E119-D120</f>
        <v>49999.999999999985</v>
      </c>
      <c r="F120" s="344"/>
      <c r="G120" s="40"/>
    </row>
    <row r="121" spans="2:7" ht="15.75">
      <c r="B121" s="40"/>
      <c r="C121" s="202" t="s">
        <v>37</v>
      </c>
      <c r="D121" s="250">
        <f>SUM(D115:D120)</f>
        <v>700000</v>
      </c>
      <c r="E121" s="336"/>
      <c r="F121" s="336"/>
      <c r="G121" s="40"/>
    </row>
    <row r="122" spans="2:11" ht="30" customHeight="1" thickBot="1">
      <c r="B122" s="59"/>
      <c r="C122" s="199"/>
      <c r="D122" s="59"/>
      <c r="E122" s="203"/>
      <c r="F122" s="203"/>
      <c r="G122" s="59"/>
      <c r="H122" s="59"/>
      <c r="I122" s="59"/>
      <c r="J122" s="59"/>
      <c r="K122" s="59"/>
    </row>
    <row r="123" spans="3:6" ht="30" customHeight="1" thickTop="1">
      <c r="C123" s="13"/>
      <c r="E123" s="17"/>
      <c r="F123" s="17"/>
    </row>
    <row r="124" spans="2:6" ht="15" customHeight="1">
      <c r="B124" s="44" t="s">
        <v>28</v>
      </c>
      <c r="C124" s="13"/>
      <c r="E124" s="17"/>
      <c r="F124" s="17"/>
    </row>
    <row r="125" spans="2:6" ht="15" customHeight="1">
      <c r="B125" s="240" t="s">
        <v>193</v>
      </c>
      <c r="C125" s="13"/>
      <c r="E125" s="17"/>
      <c r="F125" s="17"/>
    </row>
    <row r="126" spans="2:6" ht="15" customHeight="1">
      <c r="B126" s="215" t="s">
        <v>192</v>
      </c>
      <c r="C126" s="13"/>
      <c r="E126" s="17"/>
      <c r="F126" s="17"/>
    </row>
    <row r="127" spans="2:6" ht="15" customHeight="1">
      <c r="B127" s="2"/>
      <c r="C127" s="13"/>
      <c r="E127" s="17"/>
      <c r="F127" s="17"/>
    </row>
    <row r="128" spans="3:9" ht="19.5" customHeight="1">
      <c r="C128" s="81"/>
      <c r="D128" s="91"/>
      <c r="E128" s="100" t="s">
        <v>77</v>
      </c>
      <c r="F128" s="253">
        <v>1200</v>
      </c>
      <c r="G128" s="247" t="s">
        <v>140</v>
      </c>
      <c r="H128" s="254">
        <f>F128*1000</f>
        <v>1200000</v>
      </c>
      <c r="I128" s="91" t="s">
        <v>86</v>
      </c>
    </row>
    <row r="129" spans="3:8" ht="19.5" customHeight="1">
      <c r="C129" s="81"/>
      <c r="D129" s="91"/>
      <c r="E129" s="80" t="s">
        <v>87</v>
      </c>
      <c r="F129" s="162">
        <v>6</v>
      </c>
      <c r="G129" s="111" t="s">
        <v>25</v>
      </c>
      <c r="H129" s="4"/>
    </row>
    <row r="130" spans="2:9" ht="19.5" customHeight="1">
      <c r="B130" s="3"/>
      <c r="C130" s="90"/>
      <c r="D130" s="95"/>
      <c r="E130" s="86" t="s">
        <v>93</v>
      </c>
      <c r="F130" s="45"/>
      <c r="G130" s="255">
        <v>5</v>
      </c>
      <c r="H130" s="90" t="s">
        <v>13</v>
      </c>
      <c r="I130" s="3"/>
    </row>
    <row r="131" spans="3:7" ht="15">
      <c r="C131" s="191"/>
      <c r="D131" s="40"/>
      <c r="E131" s="204"/>
      <c r="F131" s="204"/>
      <c r="G131" s="40"/>
    </row>
    <row r="132" spans="3:7" ht="19.5" customHeight="1">
      <c r="C132" s="180" t="s">
        <v>5</v>
      </c>
      <c r="D132" s="180" t="s">
        <v>83</v>
      </c>
      <c r="E132" s="180" t="s">
        <v>34</v>
      </c>
      <c r="F132" s="180" t="s">
        <v>85</v>
      </c>
      <c r="G132" s="40"/>
    </row>
    <row r="133" spans="3:7" ht="15">
      <c r="C133" s="192">
        <v>1</v>
      </c>
      <c r="D133" s="205">
        <f aca="true" t="shared" si="0" ref="D133:D138">($H$128*$G$130*0.01)/((1+$G$130*0.01)^$F$129-1)</f>
        <v>176420.961732226</v>
      </c>
      <c r="E133" s="205">
        <f aca="true" t="shared" si="1" ref="E133:E138">D133*(1+$G$130*0.01)^($F$129-C133)-D133</f>
        <v>48741.85896513212</v>
      </c>
      <c r="F133" s="205">
        <f aca="true" t="shared" si="2" ref="F133:F139">D133+E133</f>
        <v>225162.8206973581</v>
      </c>
      <c r="G133" s="40"/>
    </row>
    <row r="134" spans="3:7" ht="15">
      <c r="C134" s="192">
        <v>2</v>
      </c>
      <c r="D134" s="205">
        <f t="shared" si="0"/>
        <v>176420.961732226</v>
      </c>
      <c r="E134" s="205">
        <f t="shared" si="1"/>
        <v>38019.81988430553</v>
      </c>
      <c r="F134" s="205">
        <f t="shared" si="2"/>
        <v>214440.78161653152</v>
      </c>
      <c r="G134" s="40"/>
    </row>
    <row r="135" spans="3:7" ht="15">
      <c r="C135" s="192">
        <v>3</v>
      </c>
      <c r="D135" s="205">
        <f t="shared" si="0"/>
        <v>176420.961732226</v>
      </c>
      <c r="E135" s="205">
        <f t="shared" si="1"/>
        <v>27808.354093042144</v>
      </c>
      <c r="F135" s="205">
        <f t="shared" si="2"/>
        <v>204229.31582526813</v>
      </c>
      <c r="G135" s="40"/>
    </row>
    <row r="136" spans="3:7" ht="15">
      <c r="C136" s="192">
        <v>4</v>
      </c>
      <c r="D136" s="205">
        <f t="shared" si="0"/>
        <v>176420.961732226</v>
      </c>
      <c r="E136" s="205">
        <f t="shared" si="1"/>
        <v>18083.148577553162</v>
      </c>
      <c r="F136" s="205">
        <f t="shared" si="2"/>
        <v>194504.11030977915</v>
      </c>
      <c r="G136" s="40"/>
    </row>
    <row r="137" spans="3:7" ht="15">
      <c r="C137" s="192">
        <v>5</v>
      </c>
      <c r="D137" s="205">
        <f t="shared" si="0"/>
        <v>176420.961732226</v>
      </c>
      <c r="E137" s="205">
        <f t="shared" si="1"/>
        <v>8821.048086611321</v>
      </c>
      <c r="F137" s="205">
        <f t="shared" si="2"/>
        <v>185242.0098188373</v>
      </c>
      <c r="G137" s="40"/>
    </row>
    <row r="138" spans="3:7" ht="15">
      <c r="C138" s="192">
        <v>6</v>
      </c>
      <c r="D138" s="205">
        <f t="shared" si="0"/>
        <v>176420.961732226</v>
      </c>
      <c r="E138" s="205">
        <f t="shared" si="1"/>
        <v>0</v>
      </c>
      <c r="F138" s="205">
        <f t="shared" si="2"/>
        <v>176420.961732226</v>
      </c>
      <c r="G138" s="40"/>
    </row>
    <row r="139" spans="3:7" ht="15">
      <c r="C139" s="192" t="s">
        <v>85</v>
      </c>
      <c r="D139" s="205">
        <f>SUM(D133:D138)</f>
        <v>1058525.770393356</v>
      </c>
      <c r="E139" s="205">
        <f>SUM(E133:E138)</f>
        <v>141474.22960664428</v>
      </c>
      <c r="F139" s="205">
        <f t="shared" si="2"/>
        <v>1200000.0000000002</v>
      </c>
      <c r="G139" s="165"/>
    </row>
    <row r="140" spans="2:11" ht="30" customHeight="1" thickBot="1">
      <c r="B140" s="59"/>
      <c r="C140" s="208"/>
      <c r="D140" s="209"/>
      <c r="E140" s="210"/>
      <c r="F140" s="209"/>
      <c r="G140" s="168"/>
      <c r="H140" s="59"/>
      <c r="I140" s="59"/>
      <c r="J140" s="59"/>
      <c r="K140" s="59"/>
    </row>
    <row r="141" spans="3:7" ht="30" customHeight="1" thickTop="1">
      <c r="C141" s="194"/>
      <c r="D141" s="206"/>
      <c r="E141" s="207"/>
      <c r="F141" s="206"/>
      <c r="G141" s="40"/>
    </row>
    <row r="142" spans="2:7" ht="15.75">
      <c r="B142" s="44" t="s">
        <v>46</v>
      </c>
      <c r="C142" s="194"/>
      <c r="D142" s="211"/>
      <c r="E142" s="212"/>
      <c r="F142" s="211"/>
      <c r="G142" s="40"/>
    </row>
    <row r="143" spans="2:9" ht="15" customHeight="1">
      <c r="B143" s="319" t="s">
        <v>195</v>
      </c>
      <c r="C143" s="319"/>
      <c r="D143" s="319"/>
      <c r="E143" s="319"/>
      <c r="F143" s="319"/>
      <c r="G143" s="319"/>
      <c r="H143" s="319"/>
      <c r="I143" s="319"/>
    </row>
    <row r="144" spans="2:7" ht="15">
      <c r="B144" s="215" t="s">
        <v>194</v>
      </c>
      <c r="C144" s="194"/>
      <c r="D144" s="211"/>
      <c r="E144" s="212"/>
      <c r="F144" s="211"/>
      <c r="G144" s="40"/>
    </row>
    <row r="145" spans="2:7" ht="15">
      <c r="B145" s="40"/>
      <c r="C145" s="194"/>
      <c r="D145" s="211"/>
      <c r="E145" s="212"/>
      <c r="F145" s="211"/>
      <c r="G145" s="40"/>
    </row>
    <row r="146" spans="2:8" s="48" customFormat="1" ht="19.5" customHeight="1">
      <c r="B146" s="91"/>
      <c r="C146" s="91"/>
      <c r="D146" s="100" t="s">
        <v>77</v>
      </c>
      <c r="E146" s="232">
        <v>1200</v>
      </c>
      <c r="F146" s="247" t="s">
        <v>140</v>
      </c>
      <c r="G146" s="254">
        <f>E146*1000</f>
        <v>1200000</v>
      </c>
      <c r="H146" s="91" t="s">
        <v>86</v>
      </c>
    </row>
    <row r="147" spans="2:7" s="48" customFormat="1" ht="19.5" customHeight="1">
      <c r="B147" s="91"/>
      <c r="C147" s="91"/>
      <c r="D147" s="80" t="s">
        <v>87</v>
      </c>
      <c r="E147" s="84">
        <v>5</v>
      </c>
      <c r="F147" s="111" t="s">
        <v>25</v>
      </c>
      <c r="G147" s="114"/>
    </row>
    <row r="148" spans="2:9" s="48" customFormat="1" ht="19.5" customHeight="1">
      <c r="B148" s="95"/>
      <c r="C148" s="95"/>
      <c r="D148" s="86" t="s">
        <v>93</v>
      </c>
      <c r="E148" s="89">
        <v>6</v>
      </c>
      <c r="F148" s="90" t="s">
        <v>13</v>
      </c>
      <c r="G148" s="45"/>
      <c r="H148" s="52"/>
      <c r="I148" s="52"/>
    </row>
    <row r="149" spans="2:7" ht="15">
      <c r="B149" s="40"/>
      <c r="C149" s="194"/>
      <c r="D149" s="211"/>
      <c r="E149" s="212"/>
      <c r="F149" s="211"/>
      <c r="G149" s="40"/>
    </row>
    <row r="150" spans="2:7" ht="28.5">
      <c r="B150" s="40"/>
      <c r="C150" s="256" t="s">
        <v>5</v>
      </c>
      <c r="D150" s="257" t="s">
        <v>83</v>
      </c>
      <c r="E150" s="258" t="s">
        <v>84</v>
      </c>
      <c r="F150" s="257" t="s">
        <v>34</v>
      </c>
      <c r="G150" s="256" t="s">
        <v>94</v>
      </c>
    </row>
    <row r="151" spans="2:7" ht="15">
      <c r="B151" s="40"/>
      <c r="C151" s="192">
        <v>1</v>
      </c>
      <c r="D151" s="205">
        <f>(G146*E148/100)/((1+E148/100)^E147-1)</f>
        <v>212875.68051742724</v>
      </c>
      <c r="E151" s="197">
        <f>G146-D151</f>
        <v>987124.3194825727</v>
      </c>
      <c r="F151" s="205">
        <f>G146*E148/100</f>
        <v>72000</v>
      </c>
      <c r="G151" s="259">
        <f aca="true" t="shared" si="3" ref="G151:G156">D151+F151</f>
        <v>284875.6805174273</v>
      </c>
    </row>
    <row r="152" spans="2:7" ht="15">
      <c r="B152" s="40"/>
      <c r="C152" s="192">
        <v>2</v>
      </c>
      <c r="D152" s="205">
        <f>$D$151*(1+$E$148/100)^(C152-$C$151)</f>
        <v>225648.2213484729</v>
      </c>
      <c r="E152" s="197">
        <f>E151-D152</f>
        <v>761476.0981340999</v>
      </c>
      <c r="F152" s="205">
        <f>E151*$E$148/100</f>
        <v>59227.45916895436</v>
      </c>
      <c r="G152" s="259">
        <f t="shared" si="3"/>
        <v>284875.6805174273</v>
      </c>
    </row>
    <row r="153" spans="2:7" ht="15">
      <c r="B153" s="40"/>
      <c r="C153" s="192">
        <v>3</v>
      </c>
      <c r="D153" s="205">
        <f>$D$151*(1+$E$148/100)^(C153-$C$151)</f>
        <v>239187.11462938128</v>
      </c>
      <c r="E153" s="197">
        <f>E152-D153</f>
        <v>522288.9835047186</v>
      </c>
      <c r="F153" s="205">
        <f>E152*$E$148/100</f>
        <v>45688.56588804599</v>
      </c>
      <c r="G153" s="259">
        <f t="shared" si="3"/>
        <v>284875.6805174273</v>
      </c>
    </row>
    <row r="154" spans="2:7" ht="15">
      <c r="B154" s="40"/>
      <c r="C154" s="192">
        <v>4</v>
      </c>
      <c r="D154" s="205">
        <f>$D$151*(1+$E$148/100)^(C154-$C$151)</f>
        <v>253538.34150714419</v>
      </c>
      <c r="E154" s="197">
        <f>E153-D154</f>
        <v>268750.64199757436</v>
      </c>
      <c r="F154" s="205">
        <f>E153*$E$148/100</f>
        <v>31337.339010283114</v>
      </c>
      <c r="G154" s="259">
        <f t="shared" si="3"/>
        <v>284875.6805174273</v>
      </c>
    </row>
    <row r="155" spans="2:7" ht="15">
      <c r="B155" s="40"/>
      <c r="C155" s="192">
        <v>5</v>
      </c>
      <c r="D155" s="205">
        <f>$D$151*(1+$E$148/100)^(C155-$C$151)</f>
        <v>268750.64199757285</v>
      </c>
      <c r="E155" s="197">
        <f>E154-D155</f>
        <v>1.5133991837501526E-09</v>
      </c>
      <c r="F155" s="205">
        <f>E154*$E$148/100</f>
        <v>16125.03851985446</v>
      </c>
      <c r="G155" s="259">
        <f t="shared" si="3"/>
        <v>284875.68051742733</v>
      </c>
    </row>
    <row r="156" spans="2:7" ht="15">
      <c r="B156" s="40"/>
      <c r="C156" s="192" t="s">
        <v>37</v>
      </c>
      <c r="D156" s="205">
        <f>SUM(D151:D155)</f>
        <v>1199999.9999999984</v>
      </c>
      <c r="E156" s="197"/>
      <c r="F156" s="205">
        <f>SUM(F151:F155)</f>
        <v>224378.4025871379</v>
      </c>
      <c r="G156" s="259">
        <f t="shared" si="3"/>
        <v>1424378.4025871363</v>
      </c>
    </row>
    <row r="157" spans="2:11" ht="30" customHeight="1" thickBot="1">
      <c r="B157" s="168"/>
      <c r="C157" s="208"/>
      <c r="D157" s="209"/>
      <c r="E157" s="210"/>
      <c r="F157" s="209"/>
      <c r="G157" s="213"/>
      <c r="H157" s="59"/>
      <c r="I157" s="59"/>
      <c r="J157" s="59"/>
      <c r="K157" s="59"/>
    </row>
    <row r="158" ht="13.5" thickTop="1"/>
  </sheetData>
  <mergeCells count="46">
    <mergeCell ref="F48:G48"/>
    <mergeCell ref="F49:G49"/>
    <mergeCell ref="G5:H5"/>
    <mergeCell ref="E5:F5"/>
    <mergeCell ref="B143:I143"/>
    <mergeCell ref="B33:J33"/>
    <mergeCell ref="B86:I86"/>
    <mergeCell ref="B105:I105"/>
    <mergeCell ref="E120:F120"/>
    <mergeCell ref="F45:G45"/>
    <mergeCell ref="F46:G46"/>
    <mergeCell ref="F47:G47"/>
    <mergeCell ref="F50:G50"/>
    <mergeCell ref="F51:G51"/>
    <mergeCell ref="E65:F65"/>
    <mergeCell ref="E82:F82"/>
    <mergeCell ref="E78:F78"/>
    <mergeCell ref="E79:F79"/>
    <mergeCell ref="E80:F80"/>
    <mergeCell ref="E81:F81"/>
    <mergeCell ref="E66:F66"/>
    <mergeCell ref="E67:F67"/>
    <mergeCell ref="E68:F68"/>
    <mergeCell ref="E69:F69"/>
    <mergeCell ref="E70:F70"/>
    <mergeCell ref="E75:F75"/>
    <mergeCell ref="E76:F76"/>
    <mergeCell ref="E77:F77"/>
    <mergeCell ref="E71:F71"/>
    <mergeCell ref="E72:F72"/>
    <mergeCell ref="E74:F74"/>
    <mergeCell ref="E94:F94"/>
    <mergeCell ref="E100:F100"/>
    <mergeCell ref="E99:F99"/>
    <mergeCell ref="E98:F98"/>
    <mergeCell ref="E97:F97"/>
    <mergeCell ref="E96:F96"/>
    <mergeCell ref="E95:F95"/>
    <mergeCell ref="E101:F101"/>
    <mergeCell ref="E118:F118"/>
    <mergeCell ref="E119:F119"/>
    <mergeCell ref="E121:F121"/>
    <mergeCell ref="E114:F114"/>
    <mergeCell ref="E115:F115"/>
    <mergeCell ref="E116:F116"/>
    <mergeCell ref="E117:F117"/>
  </mergeCells>
  <printOptions/>
  <pageMargins left="0.75" right="0.75" top="1" bottom="1" header="0.4921259845" footer="0.4921259845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13.00390625" style="1" customWidth="1"/>
    <col min="3" max="3" width="15.375" style="1" customWidth="1"/>
    <col min="4" max="4" width="12.625" style="1" customWidth="1"/>
    <col min="5" max="5" width="13.375" style="1" bestFit="1" customWidth="1"/>
    <col min="6" max="6" width="11.75390625" style="1" bestFit="1" customWidth="1"/>
    <col min="7" max="8" width="13.375" style="1" bestFit="1" customWidth="1"/>
    <col min="9" max="9" width="12.125" style="1" bestFit="1" customWidth="1"/>
    <col min="10" max="10" width="2.00390625" style="1" customWidth="1"/>
    <col min="11" max="11" width="13.00390625" style="1" customWidth="1"/>
    <col min="12" max="12" width="0" style="1" hidden="1" customWidth="1"/>
    <col min="13" max="16384" width="9.125" style="1" customWidth="1"/>
  </cols>
  <sheetData>
    <row r="2" spans="2:6" ht="15">
      <c r="B2" s="40" t="s">
        <v>173</v>
      </c>
      <c r="C2" s="15"/>
      <c r="D2" s="19"/>
      <c r="E2" s="20"/>
      <c r="F2" s="19"/>
    </row>
    <row r="3" ht="23.25">
      <c r="B3" s="70" t="s">
        <v>95</v>
      </c>
    </row>
    <row r="5" spans="2:9" ht="15.75">
      <c r="B5" s="44" t="s">
        <v>58</v>
      </c>
      <c r="C5" s="40"/>
      <c r="D5" s="40"/>
      <c r="E5" s="40"/>
      <c r="F5" s="40"/>
      <c r="G5" s="40"/>
      <c r="H5" s="40"/>
      <c r="I5" s="40"/>
    </row>
    <row r="6" spans="2:9" ht="15">
      <c r="B6" s="240" t="s">
        <v>201</v>
      </c>
      <c r="C6" s="40"/>
      <c r="D6" s="40"/>
      <c r="E6" s="40"/>
      <c r="F6" s="40"/>
      <c r="G6" s="40"/>
      <c r="H6" s="40"/>
      <c r="I6" s="40"/>
    </row>
    <row r="7" spans="2:9" ht="15">
      <c r="B7" s="240" t="s">
        <v>197</v>
      </c>
      <c r="C7" s="40"/>
      <c r="D7" s="40"/>
      <c r="E7" s="40"/>
      <c r="F7" s="40"/>
      <c r="G7" s="40"/>
      <c r="H7" s="40"/>
      <c r="I7" s="40"/>
    </row>
    <row r="8" spans="2:9" ht="15">
      <c r="B8" s="240" t="s">
        <v>196</v>
      </c>
      <c r="C8" s="40"/>
      <c r="D8" s="40"/>
      <c r="E8" s="40"/>
      <c r="F8" s="40"/>
      <c r="G8" s="40"/>
      <c r="H8" s="40"/>
      <c r="I8" s="40"/>
    </row>
    <row r="9" spans="2:9" ht="15">
      <c r="B9" s="238"/>
      <c r="C9" s="40"/>
      <c r="D9" s="40"/>
      <c r="E9" s="40"/>
      <c r="F9" s="40"/>
      <c r="G9" s="40"/>
      <c r="H9" s="40"/>
      <c r="I9" s="40"/>
    </row>
    <row r="10" spans="2:9" ht="15">
      <c r="B10" s="260" t="s">
        <v>202</v>
      </c>
      <c r="C10" s="215"/>
      <c r="D10" s="40"/>
      <c r="E10" s="40"/>
      <c r="F10" s="40"/>
      <c r="G10" s="40"/>
      <c r="H10" s="40"/>
      <c r="I10" s="40"/>
    </row>
    <row r="11" spans="2:9" ht="15">
      <c r="B11" s="260" t="s">
        <v>203</v>
      </c>
      <c r="C11" s="215"/>
      <c r="D11" s="40"/>
      <c r="E11" s="40"/>
      <c r="F11" s="40"/>
      <c r="G11" s="40"/>
      <c r="H11" s="40"/>
      <c r="I11" s="40"/>
    </row>
    <row r="12" spans="2:9" ht="15">
      <c r="B12" s="260" t="s">
        <v>204</v>
      </c>
      <c r="C12" s="215"/>
      <c r="D12" s="40"/>
      <c r="E12" s="40"/>
      <c r="F12" s="40"/>
      <c r="G12" s="40"/>
      <c r="H12" s="40"/>
      <c r="I12" s="40"/>
    </row>
    <row r="13" spans="2:9" ht="15">
      <c r="B13" s="260" t="s">
        <v>205</v>
      </c>
      <c r="C13" s="215"/>
      <c r="D13" s="40"/>
      <c r="E13" s="40"/>
      <c r="F13" s="40"/>
      <c r="G13" s="40"/>
      <c r="H13" s="40"/>
      <c r="I13" s="40"/>
    </row>
    <row r="14" spans="2:9" ht="15.75">
      <c r="B14" s="44"/>
      <c r="C14" s="40"/>
      <c r="D14" s="40"/>
      <c r="E14" s="40"/>
      <c r="F14" s="40"/>
      <c r="G14" s="40"/>
      <c r="H14" s="40"/>
      <c r="I14" s="40"/>
    </row>
    <row r="15" spans="2:9" s="48" customFormat="1" ht="19.5" customHeight="1">
      <c r="B15" s="246"/>
      <c r="C15" s="100" t="s">
        <v>96</v>
      </c>
      <c r="E15" s="111">
        <v>2000</v>
      </c>
      <c r="F15" s="91"/>
      <c r="H15" s="91"/>
      <c r="I15" s="91"/>
    </row>
    <row r="16" spans="2:9" s="48" customFormat="1" ht="19.5" customHeight="1">
      <c r="B16" s="91"/>
      <c r="C16" s="100" t="s">
        <v>97</v>
      </c>
      <c r="E16" s="111">
        <v>250</v>
      </c>
      <c r="F16" s="91" t="s">
        <v>86</v>
      </c>
      <c r="H16" s="91"/>
      <c r="I16" s="91"/>
    </row>
    <row r="17" spans="2:9" s="48" customFormat="1" ht="19.5" customHeight="1">
      <c r="B17" s="91"/>
      <c r="C17" s="80" t="s">
        <v>98</v>
      </c>
      <c r="E17" s="81">
        <v>1</v>
      </c>
      <c r="F17" s="228" t="s">
        <v>99</v>
      </c>
      <c r="H17" s="91"/>
      <c r="I17" s="91"/>
    </row>
    <row r="18" spans="2:9" s="48" customFormat="1" ht="19.5" customHeight="1">
      <c r="B18" s="95"/>
      <c r="C18" s="86" t="s">
        <v>100</v>
      </c>
      <c r="D18" s="52"/>
      <c r="E18" s="90">
        <v>1</v>
      </c>
      <c r="F18" s="95" t="s">
        <v>198</v>
      </c>
      <c r="G18" s="52"/>
      <c r="H18" s="95"/>
      <c r="I18" s="95"/>
    </row>
    <row r="19" spans="2:9" ht="15">
      <c r="B19" s="40"/>
      <c r="C19" s="40"/>
      <c r="D19" s="40"/>
      <c r="E19" s="40"/>
      <c r="F19" s="40"/>
      <c r="G19" s="40"/>
      <c r="H19" s="40"/>
      <c r="I19" s="40"/>
    </row>
    <row r="20" spans="2:9" ht="15">
      <c r="B20" s="40"/>
      <c r="C20" s="49" t="s">
        <v>101</v>
      </c>
      <c r="D20" s="165">
        <f>((2*E15*E16)/(E17*E18))^(1/2)</f>
        <v>1000</v>
      </c>
      <c r="E20" s="40" t="s">
        <v>106</v>
      </c>
      <c r="F20" s="40"/>
      <c r="G20" s="40"/>
      <c r="H20" s="40"/>
      <c r="I20" s="40"/>
    </row>
    <row r="21" spans="2:9" ht="15">
      <c r="B21" s="40"/>
      <c r="C21" s="49" t="s">
        <v>102</v>
      </c>
      <c r="D21" s="165">
        <f>(D20*E18*E17)/2+(E15*E16/D20)</f>
        <v>1000</v>
      </c>
      <c r="E21" s="40" t="s">
        <v>86</v>
      </c>
      <c r="F21" s="40"/>
      <c r="G21" s="40"/>
      <c r="H21" s="40"/>
      <c r="I21" s="40"/>
    </row>
    <row r="22" spans="2:9" ht="15">
      <c r="B22" s="40"/>
      <c r="C22" s="49" t="s">
        <v>103</v>
      </c>
      <c r="D22" s="113">
        <f>((2*E18*E16)/(E17*E15))^(1/2)</f>
        <v>0.5</v>
      </c>
      <c r="E22" s="40" t="s">
        <v>199</v>
      </c>
      <c r="F22" s="108">
        <f>12*D22</f>
        <v>6</v>
      </c>
      <c r="G22" s="40" t="s">
        <v>200</v>
      </c>
      <c r="H22" s="108">
        <f>D22*365</f>
        <v>182.5</v>
      </c>
      <c r="I22" s="40" t="s">
        <v>55</v>
      </c>
    </row>
    <row r="23" spans="2:9" ht="15">
      <c r="B23" s="40"/>
      <c r="C23" s="49" t="s">
        <v>92</v>
      </c>
      <c r="D23" s="165">
        <f>E15/D20</f>
        <v>2</v>
      </c>
      <c r="E23" s="40" t="s">
        <v>104</v>
      </c>
      <c r="F23" s="40"/>
      <c r="G23" s="40"/>
      <c r="H23" s="40"/>
      <c r="I23" s="40"/>
    </row>
    <row r="24" spans="2:11" ht="30" customHeight="1" thickBot="1"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ht="30" customHeight="1" thickTop="1"/>
    <row r="26" spans="2:8" ht="15.75">
      <c r="B26" s="44" t="s">
        <v>3</v>
      </c>
      <c r="C26" s="40"/>
      <c r="G26" s="40"/>
      <c r="H26" s="40"/>
    </row>
    <row r="27" spans="2:8" ht="19.5">
      <c r="B27" s="261" t="s">
        <v>206</v>
      </c>
      <c r="C27" s="40"/>
      <c r="G27" s="40"/>
      <c r="H27" s="40"/>
    </row>
    <row r="28" spans="2:8" ht="15">
      <c r="B28" s="215" t="s">
        <v>207</v>
      </c>
      <c r="C28" s="40"/>
      <c r="G28" s="40"/>
      <c r="H28" s="40"/>
    </row>
    <row r="29" spans="2:8" ht="15">
      <c r="B29" s="215" t="s">
        <v>208</v>
      </c>
      <c r="C29" s="40"/>
      <c r="G29" s="40"/>
      <c r="H29" s="40"/>
    </row>
    <row r="30" spans="2:8" ht="15.75">
      <c r="B30" s="44"/>
      <c r="C30" s="40"/>
      <c r="G30" s="40"/>
      <c r="H30" s="40"/>
    </row>
    <row r="31" spans="2:8" ht="19.5" customHeight="1">
      <c r="B31" s="44"/>
      <c r="C31" s="40"/>
      <c r="D31" s="49" t="s">
        <v>105</v>
      </c>
      <c r="E31" s="226">
        <v>2000</v>
      </c>
      <c r="F31" s="40" t="s">
        <v>106</v>
      </c>
      <c r="H31" s="40"/>
    </row>
    <row r="32" spans="2:8" ht="19.5" customHeight="1">
      <c r="B32" s="40"/>
      <c r="C32" s="40"/>
      <c r="D32" s="49" t="s">
        <v>107</v>
      </c>
      <c r="E32" s="226">
        <v>200</v>
      </c>
      <c r="F32" s="40" t="s">
        <v>106</v>
      </c>
      <c r="H32" s="40"/>
    </row>
    <row r="33" spans="2:8" ht="19.5" customHeight="1">
      <c r="B33" s="40"/>
      <c r="C33" s="170"/>
      <c r="D33" s="190" t="s">
        <v>108</v>
      </c>
      <c r="E33" s="200">
        <v>200</v>
      </c>
      <c r="F33" s="170" t="s">
        <v>109</v>
      </c>
      <c r="H33" s="40"/>
    </row>
    <row r="34" spans="2:8" ht="19.5" customHeight="1">
      <c r="B34" s="40"/>
      <c r="C34" s="98"/>
      <c r="D34" s="97" t="s">
        <v>171</v>
      </c>
      <c r="E34" s="263">
        <v>200</v>
      </c>
      <c r="F34" s="98"/>
      <c r="G34" s="3"/>
      <c r="H34" s="98"/>
    </row>
    <row r="35" spans="2:8" ht="15">
      <c r="B35" s="40"/>
      <c r="C35" s="40"/>
      <c r="D35" s="40"/>
      <c r="E35" s="40"/>
      <c r="F35" s="40"/>
      <c r="G35" s="40"/>
      <c r="H35" s="40"/>
    </row>
    <row r="36" spans="2:8" ht="15">
      <c r="B36" s="40"/>
      <c r="C36" s="40"/>
      <c r="D36" s="49" t="s">
        <v>101</v>
      </c>
      <c r="E36" s="113">
        <f>((2*E31*E32*E34)/(E33))^(1/2)</f>
        <v>894.4271909999159</v>
      </c>
      <c r="F36" s="43" t="s">
        <v>8</v>
      </c>
      <c r="G36" s="43">
        <f>CEILING(E36,1)</f>
        <v>895</v>
      </c>
      <c r="H36" s="40" t="s">
        <v>106</v>
      </c>
    </row>
    <row r="37" spans="2:8" ht="15">
      <c r="B37" s="40"/>
      <c r="C37" s="40"/>
      <c r="D37" s="49" t="s">
        <v>103</v>
      </c>
      <c r="E37" s="262">
        <f>(E33*G36)/(E31*E32)</f>
        <v>0.4475</v>
      </c>
      <c r="F37" s="40" t="s">
        <v>209</v>
      </c>
      <c r="G37" s="40"/>
      <c r="H37" s="40"/>
    </row>
    <row r="38" spans="2:11" ht="30" customHeight="1" thickBot="1"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ht="30" customHeight="1" thickTop="1">
      <c r="B39" s="40"/>
    </row>
    <row r="40" ht="15">
      <c r="B40" s="40"/>
    </row>
    <row r="41" ht="23.25">
      <c r="B41" s="70"/>
    </row>
  </sheetData>
  <printOptions/>
  <pageMargins left="0.75" right="0.75" top="1" bottom="1" header="0.4921259845" footer="0.492125984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Tichých</dc:creator>
  <cp:keywords/>
  <dc:description/>
  <cp:lastModifiedBy>Honzík</cp:lastModifiedBy>
  <dcterms:created xsi:type="dcterms:W3CDTF">2004-11-13T20:53:16Z</dcterms:created>
  <dcterms:modified xsi:type="dcterms:W3CDTF">2005-12-11T08:12:29Z</dcterms:modified>
  <cp:category/>
  <cp:version/>
  <cp:contentType/>
  <cp:contentStatus/>
</cp:coreProperties>
</file>